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60" yWindow="1515" windowWidth="11505" windowHeight="6930" tabRatio="899" firstSheet="4" activeTab="9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int.bevétel" sheetId="282" r:id="rId6"/>
    <sheet name="int.kiadás " sheetId="283" r:id="rId7"/>
    <sheet name="9 konkrét feladat" sheetId="286" r:id="rId8"/>
    <sheet name="10álláshely" sheetId="285" r:id="rId9"/>
    <sheet name="11 ök kiadás" sheetId="244" r:id="rId10"/>
    <sheet name="12 szakfeladatos" sheetId="233" r:id="rId11"/>
    <sheet name="13 fejlesztés" sheetId="257" r:id="rId12"/>
    <sheet name="15 int.felúj" sheetId="281" r:id="rId13"/>
    <sheet name="17 működési és felhalm" sheetId="253" r:id="rId14"/>
    <sheet name="18előirányzat felhasz." sheetId="273" r:id="rId15"/>
    <sheet name="20projektek" sheetId="287" r:id="rId16"/>
  </sheets>
  <externalReferences>
    <externalReference r:id="rId17"/>
    <externalReference r:id="rId18"/>
    <externalReference r:id="rId19"/>
  </externalReferences>
  <definedNames>
    <definedName name="________b00001" localSheetId="15">[1]Munka3!#REF!</definedName>
    <definedName name="________b00001">[1]Munka3!#REF!</definedName>
    <definedName name="________e00001" localSheetId="15">[1]Munka3!#REF!</definedName>
    <definedName name="________e00001">[1]Munka3!#REF!</definedName>
    <definedName name="_______b00001" localSheetId="15">[1]Munka3!#REF!</definedName>
    <definedName name="_______b00001">[1]Munka3!#REF!</definedName>
    <definedName name="_______e00001" localSheetId="15">[1]Munka3!#REF!</definedName>
    <definedName name="_______e00001">[1]Munka3!#REF!</definedName>
    <definedName name="______b00001" localSheetId="15">[1]Munka3!#REF!</definedName>
    <definedName name="______b00001">[1]Munka3!#REF!</definedName>
    <definedName name="______e00001">[1]Munka3!#REF!</definedName>
    <definedName name="_____b00001">[1]Munka3!#REF!</definedName>
    <definedName name="_____e00001">[1]Munka3!#REF!</definedName>
    <definedName name="____b00001">[1]Munka3!#REF!</definedName>
    <definedName name="____e00001">[1]Munka3!#REF!</definedName>
    <definedName name="___b00001" localSheetId="8">[1]Munka3!#REF!</definedName>
    <definedName name="___b00001">[1]Munka3!#REF!</definedName>
    <definedName name="___e00001">[1]Munka3!#REF!</definedName>
    <definedName name="__b00001" localSheetId="8">[1]Munka3!#REF!</definedName>
    <definedName name="__b00001" localSheetId="15">[1]Munka3!#REF!</definedName>
    <definedName name="__b00001" localSheetId="6">[1]Munka3!#REF!</definedName>
    <definedName name="__b00001">[1]Munka3!#REF!</definedName>
    <definedName name="__e00001" localSheetId="8">[1]Munka3!#REF!</definedName>
    <definedName name="__e00001" localSheetId="15">[1]Munka3!#REF!</definedName>
    <definedName name="__e00001" localSheetId="6">[1]Munka3!#REF!</definedName>
    <definedName name="__e00001">[1]Munka3!#REF!</definedName>
    <definedName name="_b00001" localSheetId="8">[1]Munka3!#REF!</definedName>
    <definedName name="_b00001" localSheetId="15">[1]Munka3!#REF!</definedName>
    <definedName name="_b00001" localSheetId="6">[1]Munka3!#REF!</definedName>
    <definedName name="_b00001">[1]Munka3!#REF!</definedName>
    <definedName name="_e00001" localSheetId="8">[1]Munka3!#REF!</definedName>
    <definedName name="_e00001" localSheetId="15">[1]Munka3!#REF!</definedName>
    <definedName name="_e00001" localSheetId="6">[1]Munka3!#REF!</definedName>
    <definedName name="_e00001">[1]Munka3!#REF!</definedName>
    <definedName name="b0000" localSheetId="8">[2]Munka3!#REF!</definedName>
    <definedName name="b0000" localSheetId="15">[3]Munka3!#REF!</definedName>
    <definedName name="b0000" localSheetId="6">[2]Munka3!#REF!</definedName>
    <definedName name="b0000">[2]Munka3!#REF!</definedName>
    <definedName name="b00000" localSheetId="0">[1]Munka3!#REF!</definedName>
    <definedName name="b00000" localSheetId="8">[2]Munka3!#REF!</definedName>
    <definedName name="b00000" localSheetId="9">[1]Munka3!#REF!</definedName>
    <definedName name="b00000" localSheetId="13">[1]Munka3!#REF!</definedName>
    <definedName name="b00000" localSheetId="1">[1]Munka3!#REF!</definedName>
    <definedName name="b00000" localSheetId="15">[3]Munka3!#REF!</definedName>
    <definedName name="b00000" localSheetId="6">[2]Munka3!#REF!</definedName>
    <definedName name="b00000">[2]Munka3!#REF!</definedName>
    <definedName name="c00000" localSheetId="8">[2]Munka3!#REF!</definedName>
    <definedName name="c00000" localSheetId="6">[2]Munka3!#REF!</definedName>
    <definedName name="c00000">[2]Munka3!#REF!</definedName>
    <definedName name="E00000" localSheetId="0">[1]Munka3!#REF!</definedName>
    <definedName name="E00000" localSheetId="8">[2]Munka3!#REF!</definedName>
    <definedName name="E00000" localSheetId="9">[1]Munka3!#REF!</definedName>
    <definedName name="E00000" localSheetId="13">[1]Munka3!#REF!</definedName>
    <definedName name="E00000" localSheetId="1">[1]Munka3!#REF!</definedName>
    <definedName name="E00000" localSheetId="15">[3]Munka3!#REF!</definedName>
    <definedName name="E00000" localSheetId="6">[2]Munka3!#REF!</definedName>
    <definedName name="E00000">[2]Munka3!#REF!</definedName>
    <definedName name="kiadás" localSheetId="6">[1]Munka3!#REF!</definedName>
    <definedName name="l" localSheetId="8">[1]Munka3!#REF!</definedName>
    <definedName name="létszám" localSheetId="8">[2]Munka3!#REF!</definedName>
    <definedName name="létszám" localSheetId="15">[3]Munka3!#REF!</definedName>
    <definedName name="létszám" localSheetId="6">[2]Munka3!#REF!</definedName>
    <definedName name="létszám">[2]Munka3!#REF!</definedName>
    <definedName name="_xlnm.Print_Titles" localSheetId="0">'1 bevétel (kötelező,önként)'!$A:$B,'1 bevétel (kötelező,önként)'!$1:$8</definedName>
    <definedName name="_xlnm.Print_Titles" localSheetId="8">'10álláshely'!$A:$A,'10álláshely'!$4:$5</definedName>
    <definedName name="_xlnm.Print_Titles" localSheetId="9">'11 ök kiadás'!$1:$6</definedName>
    <definedName name="_xlnm.Print_Titles" localSheetId="10">'12 szakfeladatos'!$1:$4</definedName>
    <definedName name="_xlnm.Print_Titles" localSheetId="11">'13 fejlesztés'!$1:$6</definedName>
    <definedName name="_xlnm.Print_Titles" localSheetId="12">'15 int.felúj'!$1:$4</definedName>
    <definedName name="_xlnm.Print_Titles" localSheetId="1">'2 kiadás (kötelező, önként)'!$A:$B</definedName>
    <definedName name="_xlnm.Print_Titles" localSheetId="15">'20projektek'!$1:$8</definedName>
    <definedName name="_xlnm.Print_Titles" localSheetId="2">'3 bevétel(szűkített)'!$1:$8</definedName>
    <definedName name="_xlnm.Print_Titles" localSheetId="7">'9 konkrét feladat'!$1:$4</definedName>
    <definedName name="_xlnm.Print_Titles" localSheetId="5">int.bevétel!$A:$B,int.bevétel!$1:$4</definedName>
    <definedName name="_xlnm.Print_Titles" localSheetId="6">'int.kiadás '!$1:$6</definedName>
    <definedName name="_xlnm.Print_Area" localSheetId="0">'1 bevétel (kötelező,önként)'!$A$1:$AL$67</definedName>
    <definedName name="_xlnm.Print_Area" localSheetId="9">'11 ök kiadás'!$A$1:$P$268</definedName>
    <definedName name="_xlnm.Print_Area" localSheetId="11">'13 fejlesztés'!$A$1:$D$124</definedName>
    <definedName name="_xlnm.Print_Area" localSheetId="12">'15 int.felúj'!$A$1:$E$107</definedName>
    <definedName name="_xlnm.Print_Area" localSheetId="3">'4 kiadás(szűkített)'!$A$1:$K$28</definedName>
    <definedName name="_xlnm.Print_Area" localSheetId="5">int.bevétel!$A$1:$O$444</definedName>
    <definedName name="_xlnm.Print_Area" localSheetId="6">'int.kiadás '!$A$1:$O$457</definedName>
  </definedNames>
  <calcPr calcId="145621"/>
</workbook>
</file>

<file path=xl/calcChain.xml><?xml version="1.0" encoding="utf-8"?>
<calcChain xmlns="http://schemas.openxmlformats.org/spreadsheetml/2006/main">
  <c r="L34" i="244" l="1"/>
  <c r="P34" i="244" s="1"/>
  <c r="L35" i="244"/>
  <c r="P35" i="244" s="1"/>
  <c r="H34" i="244"/>
  <c r="H35" i="244"/>
  <c r="E24" i="233"/>
  <c r="H20" i="273" l="1"/>
  <c r="B11" i="253"/>
  <c r="B10" i="253"/>
  <c r="H13" i="240"/>
  <c r="G241" i="233"/>
  <c r="G206" i="233"/>
  <c r="D206" i="233"/>
  <c r="D433" i="283" l="1"/>
  <c r="E433" i="283"/>
  <c r="F433" i="283"/>
  <c r="G433" i="283"/>
  <c r="H433" i="283"/>
  <c r="I433" i="283"/>
  <c r="J433" i="283"/>
  <c r="K433" i="283"/>
  <c r="L433" i="283"/>
  <c r="M433" i="283"/>
  <c r="N433" i="283"/>
  <c r="O433" i="283"/>
  <c r="H19" i="273"/>
  <c r="E15" i="253"/>
  <c r="B15" i="253"/>
  <c r="B8" i="253"/>
  <c r="G257" i="233"/>
  <c r="H257" i="233"/>
  <c r="H241" i="233"/>
  <c r="O239" i="244"/>
  <c r="P239" i="244" s="1"/>
  <c r="AE61" i="239" l="1"/>
  <c r="C99" i="286" l="1"/>
  <c r="C97" i="286"/>
  <c r="E27" i="273" l="1"/>
  <c r="D27" i="273"/>
  <c r="C27" i="273"/>
  <c r="B27" i="273"/>
  <c r="N26" i="273"/>
  <c r="N25" i="273"/>
  <c r="N24" i="273"/>
  <c r="M23" i="273"/>
  <c r="L23" i="273"/>
  <c r="K23" i="273"/>
  <c r="J23" i="273"/>
  <c r="I23" i="273"/>
  <c r="H23" i="273"/>
  <c r="G23" i="273"/>
  <c r="N23" i="273" s="1"/>
  <c r="K22" i="273"/>
  <c r="H22" i="273"/>
  <c r="N22" i="273" s="1"/>
  <c r="N21" i="273"/>
  <c r="M20" i="273"/>
  <c r="M27" i="273" s="1"/>
  <c r="L20" i="273"/>
  <c r="K20" i="273"/>
  <c r="K27" i="273" s="1"/>
  <c r="J20" i="273"/>
  <c r="I20" i="273"/>
  <c r="I27" i="273" s="1"/>
  <c r="G20" i="273"/>
  <c r="G27" i="273" s="1"/>
  <c r="F20" i="273"/>
  <c r="N20" i="273" s="1"/>
  <c r="M19" i="273"/>
  <c r="L19" i="273"/>
  <c r="L27" i="273" s="1"/>
  <c r="K19" i="273"/>
  <c r="J19" i="273"/>
  <c r="J27" i="273" s="1"/>
  <c r="I19" i="273"/>
  <c r="H27" i="273"/>
  <c r="G19" i="273"/>
  <c r="F19" i="273"/>
  <c r="F27" i="273" s="1"/>
  <c r="K16" i="273"/>
  <c r="K30" i="273" s="1"/>
  <c r="I16" i="273"/>
  <c r="G16" i="273"/>
  <c r="G30" i="273" s="1"/>
  <c r="E16" i="273"/>
  <c r="E30" i="273" s="1"/>
  <c r="N15" i="273"/>
  <c r="N14" i="273"/>
  <c r="N13" i="273"/>
  <c r="M12" i="273"/>
  <c r="G12" i="273"/>
  <c r="N12" i="273" s="1"/>
  <c r="M11" i="273"/>
  <c r="J11" i="273"/>
  <c r="F11" i="273"/>
  <c r="B11" i="273"/>
  <c r="N11" i="273" s="1"/>
  <c r="N10" i="273"/>
  <c r="M9" i="273"/>
  <c r="L9" i="273"/>
  <c r="K9" i="273"/>
  <c r="J9" i="273"/>
  <c r="I9" i="273"/>
  <c r="H9" i="273"/>
  <c r="H16" i="273" s="1"/>
  <c r="G9" i="273"/>
  <c r="F9" i="273"/>
  <c r="F16" i="273" s="1"/>
  <c r="D9" i="273"/>
  <c r="D16" i="273" s="1"/>
  <c r="D30" i="273" s="1"/>
  <c r="C9" i="273"/>
  <c r="N9" i="273" s="1"/>
  <c r="B9" i="273"/>
  <c r="B16" i="273" s="1"/>
  <c r="B30" i="273" s="1"/>
  <c r="B31" i="273" s="1"/>
  <c r="C29" i="273" s="1"/>
  <c r="N8" i="273"/>
  <c r="M7" i="273"/>
  <c r="M16" i="273" s="1"/>
  <c r="L7" i="273"/>
  <c r="L16" i="273" s="1"/>
  <c r="L30" i="273" s="1"/>
  <c r="J7" i="273"/>
  <c r="J16" i="273" s="1"/>
  <c r="J30" i="273" s="1"/>
  <c r="G7" i="273"/>
  <c r="N7" i="273" s="1"/>
  <c r="N6" i="273"/>
  <c r="H30" i="273" l="1"/>
  <c r="N16" i="273"/>
  <c r="M30" i="273"/>
  <c r="F30" i="273"/>
  <c r="I30" i="273"/>
  <c r="C16" i="273"/>
  <c r="C30" i="273" s="1"/>
  <c r="C31" i="273" s="1"/>
  <c r="D29" i="273" s="1"/>
  <c r="D31" i="273" s="1"/>
  <c r="E29" i="273" s="1"/>
  <c r="E31" i="273" s="1"/>
  <c r="F29" i="273" s="1"/>
  <c r="F31" i="273" s="1"/>
  <c r="G29" i="273" s="1"/>
  <c r="G31" i="273" s="1"/>
  <c r="H29" i="273" s="1"/>
  <c r="N19" i="273"/>
  <c r="N27" i="273" s="1"/>
  <c r="H31" i="273" l="1"/>
  <c r="I29" i="273" s="1"/>
  <c r="I31" i="273" s="1"/>
  <c r="J29" i="273" s="1"/>
  <c r="J31" i="273" s="1"/>
  <c r="K29" i="273" s="1"/>
  <c r="K31" i="273" s="1"/>
  <c r="L29" i="273" s="1"/>
  <c r="L31" i="273" s="1"/>
  <c r="M29" i="273" s="1"/>
  <c r="M31" i="273" s="1"/>
  <c r="C95" i="286"/>
  <c r="B95" i="286"/>
  <c r="C74" i="286"/>
  <c r="B74" i="286"/>
  <c r="C67" i="286"/>
  <c r="B67" i="286"/>
  <c r="C65" i="286"/>
  <c r="B65" i="286"/>
  <c r="C57" i="286"/>
  <c r="B57" i="286"/>
  <c r="C50" i="286"/>
  <c r="B50" i="286"/>
  <c r="C48" i="286"/>
  <c r="B48" i="286"/>
  <c r="C41" i="286"/>
  <c r="B41" i="286"/>
  <c r="C34" i="286"/>
  <c r="B34" i="286"/>
  <c r="C30" i="286"/>
  <c r="C25" i="286"/>
  <c r="C21" i="286"/>
  <c r="C19" i="286"/>
  <c r="C17" i="286"/>
  <c r="C15" i="286"/>
  <c r="C13" i="286"/>
  <c r="C11" i="286"/>
  <c r="C9" i="286"/>
  <c r="C94" i="286" s="1"/>
  <c r="C7" i="286"/>
  <c r="B7" i="286"/>
  <c r="C5" i="286"/>
  <c r="B5" i="286"/>
  <c r="B94" i="286" s="1"/>
  <c r="B100" i="286" s="1"/>
  <c r="C100" i="286" l="1"/>
  <c r="N453" i="283"/>
  <c r="K453" i="283"/>
  <c r="J453" i="283"/>
  <c r="I453" i="283"/>
  <c r="G453" i="283"/>
  <c r="F453" i="283"/>
  <c r="E453" i="283"/>
  <c r="D453" i="283"/>
  <c r="C453" i="283"/>
  <c r="N452" i="283"/>
  <c r="K452" i="283"/>
  <c r="J452" i="283"/>
  <c r="I452" i="283"/>
  <c r="G452" i="283"/>
  <c r="F452" i="283"/>
  <c r="E452" i="283"/>
  <c r="D452" i="283"/>
  <c r="C452" i="283"/>
  <c r="N450" i="283"/>
  <c r="K450" i="283"/>
  <c r="J450" i="283"/>
  <c r="I450" i="283"/>
  <c r="G450" i="283"/>
  <c r="F450" i="283"/>
  <c r="E450" i="283"/>
  <c r="D450" i="283"/>
  <c r="C450" i="283"/>
  <c r="N449" i="283"/>
  <c r="K449" i="283"/>
  <c r="J449" i="283"/>
  <c r="I449" i="283"/>
  <c r="G449" i="283"/>
  <c r="F449" i="283"/>
  <c r="E449" i="283"/>
  <c r="D449" i="283"/>
  <c r="C449" i="283"/>
  <c r="N448" i="283"/>
  <c r="K448" i="283"/>
  <c r="J448" i="283"/>
  <c r="I448" i="283"/>
  <c r="G448" i="283"/>
  <c r="F448" i="283"/>
  <c r="E448" i="283"/>
  <c r="D448" i="283"/>
  <c r="C448" i="283"/>
  <c r="N447" i="283"/>
  <c r="K447" i="283"/>
  <c r="J447" i="283"/>
  <c r="I447" i="283"/>
  <c r="G447" i="283"/>
  <c r="F447" i="283"/>
  <c r="E447" i="283"/>
  <c r="D447" i="283"/>
  <c r="C447" i="283"/>
  <c r="N446" i="283"/>
  <c r="K446" i="283"/>
  <c r="J446" i="283"/>
  <c r="I446" i="283"/>
  <c r="G446" i="283"/>
  <c r="F446" i="283"/>
  <c r="E446" i="283"/>
  <c r="D446" i="283"/>
  <c r="C446" i="283"/>
  <c r="N445" i="283"/>
  <c r="K445" i="283"/>
  <c r="J445" i="283"/>
  <c r="I445" i="283"/>
  <c r="G445" i="283"/>
  <c r="F445" i="283"/>
  <c r="E445" i="283"/>
  <c r="D445" i="283"/>
  <c r="C445" i="283"/>
  <c r="N444" i="283"/>
  <c r="K444" i="283"/>
  <c r="J444" i="283"/>
  <c r="I444" i="283"/>
  <c r="G444" i="283"/>
  <c r="F444" i="283"/>
  <c r="E444" i="283"/>
  <c r="D444" i="283"/>
  <c r="C444" i="283"/>
  <c r="N443" i="283"/>
  <c r="K443" i="283"/>
  <c r="J443" i="283"/>
  <c r="I443" i="283"/>
  <c r="G443" i="283"/>
  <c r="F443" i="283"/>
  <c r="E443" i="283"/>
  <c r="D443" i="283"/>
  <c r="C443" i="283"/>
  <c r="N442" i="283"/>
  <c r="K442" i="283"/>
  <c r="J442" i="283"/>
  <c r="I442" i="283"/>
  <c r="G442" i="283"/>
  <c r="F442" i="283"/>
  <c r="E442" i="283"/>
  <c r="D442" i="283"/>
  <c r="C442" i="283"/>
  <c r="N441" i="283"/>
  <c r="K441" i="283"/>
  <c r="J441" i="283"/>
  <c r="I441" i="283"/>
  <c r="G441" i="283"/>
  <c r="F441" i="283"/>
  <c r="E441" i="283"/>
  <c r="D441" i="283"/>
  <c r="C441" i="283"/>
  <c r="N440" i="283"/>
  <c r="K440" i="283"/>
  <c r="J440" i="283"/>
  <c r="I440" i="283"/>
  <c r="G440" i="283"/>
  <c r="F440" i="283"/>
  <c r="E440" i="283"/>
  <c r="D440" i="283"/>
  <c r="C440" i="283"/>
  <c r="N439" i="283"/>
  <c r="K439" i="283"/>
  <c r="J439" i="283"/>
  <c r="I439" i="283"/>
  <c r="G439" i="283"/>
  <c r="F439" i="283"/>
  <c r="E439" i="283"/>
  <c r="D439" i="283"/>
  <c r="C439" i="283"/>
  <c r="N438" i="283"/>
  <c r="K438" i="283"/>
  <c r="J438" i="283"/>
  <c r="I438" i="283"/>
  <c r="G438" i="283"/>
  <c r="F438" i="283"/>
  <c r="E438" i="283"/>
  <c r="D438" i="283"/>
  <c r="C438" i="283"/>
  <c r="N437" i="283"/>
  <c r="K437" i="283"/>
  <c r="J437" i="283"/>
  <c r="I437" i="283"/>
  <c r="G437" i="283"/>
  <c r="F437" i="283"/>
  <c r="E437" i="283"/>
  <c r="D437" i="283"/>
  <c r="C437" i="283"/>
  <c r="N435" i="283"/>
  <c r="K435" i="283"/>
  <c r="J435" i="283"/>
  <c r="I435" i="283"/>
  <c r="G435" i="283"/>
  <c r="F435" i="283"/>
  <c r="E435" i="283"/>
  <c r="D435" i="283"/>
  <c r="C435" i="283"/>
  <c r="N434" i="283"/>
  <c r="K434" i="283"/>
  <c r="J434" i="283"/>
  <c r="I434" i="283"/>
  <c r="G434" i="283"/>
  <c r="F434" i="283"/>
  <c r="E434" i="283"/>
  <c r="D434" i="283"/>
  <c r="C434" i="283"/>
  <c r="C433" i="283"/>
  <c r="N432" i="283"/>
  <c r="K432" i="283"/>
  <c r="J432" i="283"/>
  <c r="I432" i="283"/>
  <c r="G432" i="283"/>
  <c r="F432" i="283"/>
  <c r="E432" i="283"/>
  <c r="D432" i="283"/>
  <c r="C432" i="283"/>
  <c r="N431" i="283"/>
  <c r="K431" i="283"/>
  <c r="J431" i="283"/>
  <c r="I431" i="283"/>
  <c r="G431" i="283"/>
  <c r="F431" i="283"/>
  <c r="E431" i="283"/>
  <c r="D431" i="283"/>
  <c r="C431" i="283"/>
  <c r="N430" i="283"/>
  <c r="K430" i="283"/>
  <c r="J430" i="283"/>
  <c r="I430" i="283"/>
  <c r="G430" i="283"/>
  <c r="F430" i="283"/>
  <c r="E430" i="283"/>
  <c r="D430" i="283"/>
  <c r="C430" i="283"/>
  <c r="N429" i="283"/>
  <c r="K429" i="283"/>
  <c r="J429" i="283"/>
  <c r="I429" i="283"/>
  <c r="G429" i="283"/>
  <c r="F429" i="283"/>
  <c r="E429" i="283"/>
  <c r="D429" i="283"/>
  <c r="C429" i="283"/>
  <c r="N428" i="283"/>
  <c r="K428" i="283"/>
  <c r="J428" i="283"/>
  <c r="I428" i="283"/>
  <c r="G428" i="283"/>
  <c r="F428" i="283"/>
  <c r="E428" i="283"/>
  <c r="D428" i="283"/>
  <c r="C428" i="283"/>
  <c r="N427" i="283"/>
  <c r="K427" i="283"/>
  <c r="J427" i="283"/>
  <c r="I427" i="283"/>
  <c r="G427" i="283"/>
  <c r="F427" i="283"/>
  <c r="E427" i="283"/>
  <c r="D427" i="283"/>
  <c r="C427" i="283"/>
  <c r="N426" i="283"/>
  <c r="K426" i="283"/>
  <c r="J426" i="283"/>
  <c r="I426" i="283"/>
  <c r="G426" i="283"/>
  <c r="F426" i="283"/>
  <c r="E426" i="283"/>
  <c r="D426" i="283"/>
  <c r="C426" i="283"/>
  <c r="N425" i="283"/>
  <c r="K425" i="283"/>
  <c r="J425" i="283"/>
  <c r="I425" i="283"/>
  <c r="G425" i="283"/>
  <c r="F425" i="283"/>
  <c r="E425" i="283"/>
  <c r="D425" i="283"/>
  <c r="C425" i="283"/>
  <c r="N423" i="283"/>
  <c r="K423" i="283"/>
  <c r="J423" i="283"/>
  <c r="I423" i="283"/>
  <c r="I454" i="283" s="1"/>
  <c r="G423" i="283"/>
  <c r="F423" i="283"/>
  <c r="E423" i="283"/>
  <c r="D423" i="283"/>
  <c r="D454" i="283" s="1"/>
  <c r="C423" i="283"/>
  <c r="N421" i="283"/>
  <c r="N457" i="283" s="1"/>
  <c r="K421" i="283"/>
  <c r="K457" i="283" s="1"/>
  <c r="J421" i="283"/>
  <c r="J457" i="283" s="1"/>
  <c r="I421" i="283"/>
  <c r="I457" i="283" s="1"/>
  <c r="G421" i="283"/>
  <c r="G457" i="283" s="1"/>
  <c r="F421" i="283"/>
  <c r="F457" i="283" s="1"/>
  <c r="E421" i="283"/>
  <c r="E457" i="283" s="1"/>
  <c r="D421" i="283"/>
  <c r="D457" i="283" s="1"/>
  <c r="C421" i="283"/>
  <c r="C457" i="283" s="1"/>
  <c r="N420" i="283"/>
  <c r="K420" i="283"/>
  <c r="J420" i="283"/>
  <c r="I420" i="283"/>
  <c r="G420" i="283"/>
  <c r="F420" i="283"/>
  <c r="E420" i="283"/>
  <c r="D420" i="283"/>
  <c r="C420" i="283"/>
  <c r="N419" i="283"/>
  <c r="K419" i="283"/>
  <c r="J419" i="283"/>
  <c r="I419" i="283"/>
  <c r="G419" i="283"/>
  <c r="F419" i="283"/>
  <c r="E419" i="283"/>
  <c r="D419" i="283"/>
  <c r="C419" i="283"/>
  <c r="N418" i="283"/>
  <c r="K418" i="283"/>
  <c r="J418" i="283"/>
  <c r="I418" i="283"/>
  <c r="G418" i="283"/>
  <c r="F418" i="283"/>
  <c r="E418" i="283"/>
  <c r="D418" i="283"/>
  <c r="C418" i="283"/>
  <c r="L417" i="283"/>
  <c r="L453" i="283" s="1"/>
  <c r="H417" i="283"/>
  <c r="L416" i="283"/>
  <c r="L452" i="283" s="1"/>
  <c r="H416" i="283"/>
  <c r="H452" i="283" s="1"/>
  <c r="L415" i="283"/>
  <c r="H415" i="283"/>
  <c r="L414" i="283"/>
  <c r="L450" i="283" s="1"/>
  <c r="H414" i="283"/>
  <c r="H450" i="283" s="1"/>
  <c r="L413" i="283"/>
  <c r="L449" i="283" s="1"/>
  <c r="H413" i="283"/>
  <c r="H449" i="283" s="1"/>
  <c r="L412" i="283"/>
  <c r="H412" i="283"/>
  <c r="L411" i="283"/>
  <c r="H411" i="283"/>
  <c r="L410" i="283"/>
  <c r="L435" i="283" s="1"/>
  <c r="H410" i="283"/>
  <c r="L409" i="283"/>
  <c r="H409" i="283"/>
  <c r="L407" i="283"/>
  <c r="L421" i="283" s="1"/>
  <c r="L457" i="283" s="1"/>
  <c r="H407" i="283"/>
  <c r="H421" i="283" s="1"/>
  <c r="H457" i="283" s="1"/>
  <c r="L406" i="283"/>
  <c r="H406" i="283"/>
  <c r="L405" i="283"/>
  <c r="L419" i="283" s="1"/>
  <c r="H405" i="283"/>
  <c r="H419" i="283" s="1"/>
  <c r="L404" i="283"/>
  <c r="H404" i="283"/>
  <c r="N400" i="283"/>
  <c r="K400" i="283"/>
  <c r="J400" i="283"/>
  <c r="I400" i="283"/>
  <c r="G400" i="283"/>
  <c r="F400" i="283"/>
  <c r="E400" i="283"/>
  <c r="D400" i="283"/>
  <c r="C400" i="283"/>
  <c r="N399" i="283"/>
  <c r="K399" i="283"/>
  <c r="J399" i="283"/>
  <c r="I399" i="283"/>
  <c r="G399" i="283"/>
  <c r="F399" i="283"/>
  <c r="E399" i="283"/>
  <c r="D399" i="283"/>
  <c r="C399" i="283"/>
  <c r="N398" i="283"/>
  <c r="K398" i="283"/>
  <c r="J398" i="283"/>
  <c r="I398" i="283"/>
  <c r="G398" i="283"/>
  <c r="F398" i="283"/>
  <c r="E398" i="283"/>
  <c r="D398" i="283"/>
  <c r="C398" i="283"/>
  <c r="L397" i="283"/>
  <c r="L443" i="283" s="1"/>
  <c r="H397" i="283"/>
  <c r="H443" i="283" s="1"/>
  <c r="L396" i="283"/>
  <c r="H396" i="283"/>
  <c r="M396" i="283" s="1"/>
  <c r="O396" i="283" s="1"/>
  <c r="L395" i="283"/>
  <c r="H395" i="283"/>
  <c r="L394" i="283"/>
  <c r="H394" i="283"/>
  <c r="L393" i="283"/>
  <c r="H393" i="283"/>
  <c r="L392" i="283"/>
  <c r="H392" i="283"/>
  <c r="L391" i="283"/>
  <c r="H391" i="283"/>
  <c r="L390" i="283"/>
  <c r="H390" i="283"/>
  <c r="L388" i="283"/>
  <c r="H388" i="283"/>
  <c r="L387" i="283"/>
  <c r="H387" i="283"/>
  <c r="L385" i="283"/>
  <c r="H385" i="283"/>
  <c r="L384" i="283"/>
  <c r="H384" i="283"/>
  <c r="L383" i="283"/>
  <c r="H383" i="283"/>
  <c r="N381" i="283"/>
  <c r="K381" i="283"/>
  <c r="J381" i="283"/>
  <c r="I381" i="283"/>
  <c r="G381" i="283"/>
  <c r="F381" i="283"/>
  <c r="E381" i="283"/>
  <c r="D381" i="283"/>
  <c r="C381" i="283"/>
  <c r="N380" i="283"/>
  <c r="K380" i="283"/>
  <c r="J380" i="283"/>
  <c r="I380" i="283"/>
  <c r="G380" i="283"/>
  <c r="F380" i="283"/>
  <c r="E380" i="283"/>
  <c r="D380" i="283"/>
  <c r="C380" i="283"/>
  <c r="L379" i="283"/>
  <c r="H379" i="283"/>
  <c r="M379" i="283" s="1"/>
  <c r="O379" i="283" s="1"/>
  <c r="L378" i="283"/>
  <c r="H378" i="283"/>
  <c r="L377" i="283"/>
  <c r="L444" i="283" s="1"/>
  <c r="H377" i="283"/>
  <c r="H444" i="283" s="1"/>
  <c r="L376" i="283"/>
  <c r="L442" i="283" s="1"/>
  <c r="H376" i="283"/>
  <c r="H442" i="283" s="1"/>
  <c r="L375" i="283"/>
  <c r="H375" i="283"/>
  <c r="M375" i="283" s="1"/>
  <c r="O375" i="283" s="1"/>
  <c r="L374" i="283"/>
  <c r="H374" i="283"/>
  <c r="L373" i="283"/>
  <c r="H373" i="283"/>
  <c r="M373" i="283" s="1"/>
  <c r="O373" i="283" s="1"/>
  <c r="L371" i="283"/>
  <c r="L381" i="283" s="1"/>
  <c r="H371" i="283"/>
  <c r="L370" i="283"/>
  <c r="H370" i="283"/>
  <c r="M370" i="283" s="1"/>
  <c r="N368" i="283"/>
  <c r="K368" i="283"/>
  <c r="J368" i="283"/>
  <c r="I368" i="283"/>
  <c r="G368" i="283"/>
  <c r="F368" i="283"/>
  <c r="E368" i="283"/>
  <c r="D368" i="283"/>
  <c r="C368" i="283"/>
  <c r="N367" i="283"/>
  <c r="K367" i="283"/>
  <c r="J367" i="283"/>
  <c r="I367" i="283"/>
  <c r="G367" i="283"/>
  <c r="F367" i="283"/>
  <c r="E367" i="283"/>
  <c r="D367" i="283"/>
  <c r="C367" i="283"/>
  <c r="L366" i="283"/>
  <c r="L448" i="283" s="1"/>
  <c r="H366" i="283"/>
  <c r="H448" i="283" s="1"/>
  <c r="L365" i="283"/>
  <c r="H365" i="283"/>
  <c r="L364" i="283"/>
  <c r="H364" i="283"/>
  <c r="M364" i="283" s="1"/>
  <c r="O364" i="283" s="1"/>
  <c r="L363" i="283"/>
  <c r="H363" i="283"/>
  <c r="M363" i="283" s="1"/>
  <c r="O363" i="283" s="1"/>
  <c r="L361" i="283"/>
  <c r="L368" i="283" s="1"/>
  <c r="H361" i="283"/>
  <c r="L360" i="283"/>
  <c r="H360" i="283"/>
  <c r="N358" i="283"/>
  <c r="K358" i="283"/>
  <c r="J358" i="283"/>
  <c r="I358" i="283"/>
  <c r="G358" i="283"/>
  <c r="F358" i="283"/>
  <c r="E358" i="283"/>
  <c r="D358" i="283"/>
  <c r="C358" i="283"/>
  <c r="N357" i="283"/>
  <c r="K357" i="283"/>
  <c r="J357" i="283"/>
  <c r="I357" i="283"/>
  <c r="G357" i="283"/>
  <c r="F357" i="283"/>
  <c r="E357" i="283"/>
  <c r="D357" i="283"/>
  <c r="C357" i="283"/>
  <c r="N356" i="283"/>
  <c r="K356" i="283"/>
  <c r="J356" i="283"/>
  <c r="I356" i="283"/>
  <c r="G356" i="283"/>
  <c r="F356" i="283"/>
  <c r="E356" i="283"/>
  <c r="D356" i="283"/>
  <c r="C356" i="283"/>
  <c r="L355" i="283"/>
  <c r="H355" i="283"/>
  <c r="M355" i="283" s="1"/>
  <c r="O355" i="283" s="1"/>
  <c r="L354" i="283"/>
  <c r="H354" i="283"/>
  <c r="L353" i="283"/>
  <c r="H353" i="283"/>
  <c r="M353" i="283" s="1"/>
  <c r="O353" i="283" s="1"/>
  <c r="L352" i="283"/>
  <c r="H352" i="283"/>
  <c r="L350" i="283"/>
  <c r="L434" i="283" s="1"/>
  <c r="H350" i="283"/>
  <c r="H434" i="283" s="1"/>
  <c r="L349" i="283"/>
  <c r="H349" i="283"/>
  <c r="L348" i="283"/>
  <c r="L432" i="283" s="1"/>
  <c r="H348" i="283"/>
  <c r="H432" i="283" s="1"/>
  <c r="L347" i="283"/>
  <c r="H347" i="283"/>
  <c r="L346" i="283"/>
  <c r="H346" i="283"/>
  <c r="M346" i="283" s="1"/>
  <c r="O346" i="283" s="1"/>
  <c r="L345" i="283"/>
  <c r="H345" i="283"/>
  <c r="L343" i="283"/>
  <c r="H343" i="283"/>
  <c r="L342" i="283"/>
  <c r="L357" i="283" s="1"/>
  <c r="H342" i="283"/>
  <c r="L341" i="283"/>
  <c r="H341" i="283"/>
  <c r="M341" i="283" s="1"/>
  <c r="N339" i="283"/>
  <c r="K339" i="283"/>
  <c r="J339" i="283"/>
  <c r="I339" i="283"/>
  <c r="G339" i="283"/>
  <c r="F339" i="283"/>
  <c r="E339" i="283"/>
  <c r="D339" i="283"/>
  <c r="C339" i="283"/>
  <c r="N338" i="283"/>
  <c r="K338" i="283"/>
  <c r="J338" i="283"/>
  <c r="I338" i="283"/>
  <c r="G338" i="283"/>
  <c r="F338" i="283"/>
  <c r="E338" i="283"/>
  <c r="D338" i="283"/>
  <c r="C338" i="283"/>
  <c r="N337" i="283"/>
  <c r="K337" i="283"/>
  <c r="J337" i="283"/>
  <c r="I337" i="283"/>
  <c r="G337" i="283"/>
  <c r="F337" i="283"/>
  <c r="E337" i="283"/>
  <c r="D337" i="283"/>
  <c r="C337" i="283"/>
  <c r="L336" i="283"/>
  <c r="H336" i="283"/>
  <c r="L335" i="283"/>
  <c r="H335" i="283"/>
  <c r="M335" i="283" s="1"/>
  <c r="O335" i="283" s="1"/>
  <c r="L333" i="283"/>
  <c r="H333" i="283"/>
  <c r="L332" i="283"/>
  <c r="H332" i="283"/>
  <c r="M332" i="283" s="1"/>
  <c r="O332" i="283" s="1"/>
  <c r="L331" i="283"/>
  <c r="L427" i="283" s="1"/>
  <c r="H331" i="283"/>
  <c r="H427" i="283" s="1"/>
  <c r="L330" i="283"/>
  <c r="H330" i="283"/>
  <c r="M330" i="283" s="1"/>
  <c r="O330" i="283" s="1"/>
  <c r="L328" i="283"/>
  <c r="L339" i="283" s="1"/>
  <c r="H328" i="283"/>
  <c r="L327" i="283"/>
  <c r="H327" i="283"/>
  <c r="H338" i="283" s="1"/>
  <c r="L326" i="283"/>
  <c r="L337" i="283" s="1"/>
  <c r="H326" i="283"/>
  <c r="N324" i="283"/>
  <c r="K324" i="283"/>
  <c r="J324" i="283"/>
  <c r="I324" i="283"/>
  <c r="G324" i="283"/>
  <c r="F324" i="283"/>
  <c r="E324" i="283"/>
  <c r="D324" i="283"/>
  <c r="C324" i="283"/>
  <c r="N323" i="283"/>
  <c r="K323" i="283"/>
  <c r="J323" i="283"/>
  <c r="I323" i="283"/>
  <c r="G323" i="283"/>
  <c r="F323" i="283"/>
  <c r="E323" i="283"/>
  <c r="D323" i="283"/>
  <c r="C323" i="283"/>
  <c r="L322" i="283"/>
  <c r="H322" i="283"/>
  <c r="L321" i="283"/>
  <c r="H321" i="283"/>
  <c r="M321" i="283" s="1"/>
  <c r="O321" i="283" s="1"/>
  <c r="L320" i="283"/>
  <c r="H320" i="283"/>
  <c r="M320" i="283" s="1"/>
  <c r="O320" i="283" s="1"/>
  <c r="M319" i="283"/>
  <c r="O319" i="283" s="1"/>
  <c r="L319" i="283"/>
  <c r="H319" i="283"/>
  <c r="L317" i="283"/>
  <c r="L324" i="283" s="1"/>
  <c r="H317" i="283"/>
  <c r="L316" i="283"/>
  <c r="H316" i="283"/>
  <c r="N314" i="283"/>
  <c r="K314" i="283"/>
  <c r="J314" i="283"/>
  <c r="I314" i="283"/>
  <c r="G314" i="283"/>
  <c r="F314" i="283"/>
  <c r="E314" i="283"/>
  <c r="D314" i="283"/>
  <c r="C314" i="283"/>
  <c r="N313" i="283"/>
  <c r="K313" i="283"/>
  <c r="J313" i="283"/>
  <c r="I313" i="283"/>
  <c r="G313" i="283"/>
  <c r="F313" i="283"/>
  <c r="E313" i="283"/>
  <c r="E401" i="283" s="1"/>
  <c r="D313" i="283"/>
  <c r="C313" i="283"/>
  <c r="L312" i="283"/>
  <c r="H312" i="283"/>
  <c r="L311" i="283"/>
  <c r="H311" i="283"/>
  <c r="L310" i="283"/>
  <c r="H310" i="283"/>
  <c r="M310" i="283" s="1"/>
  <c r="O310" i="283" s="1"/>
  <c r="L309" i="283"/>
  <c r="L439" i="283" s="1"/>
  <c r="H309" i="283"/>
  <c r="L308" i="283"/>
  <c r="H308" i="283"/>
  <c r="M308" i="283" s="1"/>
  <c r="O308" i="283" s="1"/>
  <c r="L307" i="283"/>
  <c r="H307" i="283"/>
  <c r="L305" i="283"/>
  <c r="L314" i="283" s="1"/>
  <c r="H305" i="283"/>
  <c r="L304" i="283"/>
  <c r="H304" i="283"/>
  <c r="N302" i="283"/>
  <c r="K302" i="283"/>
  <c r="J302" i="283"/>
  <c r="I302" i="283"/>
  <c r="G302" i="283"/>
  <c r="F302" i="283"/>
  <c r="E302" i="283"/>
  <c r="D302" i="283"/>
  <c r="C302" i="283"/>
  <c r="N301" i="283"/>
  <c r="K301" i="283"/>
  <c r="J301" i="283"/>
  <c r="I301" i="283"/>
  <c r="G301" i="283"/>
  <c r="F301" i="283"/>
  <c r="E301" i="283"/>
  <c r="D301" i="283"/>
  <c r="C301" i="283"/>
  <c r="N300" i="283"/>
  <c r="K300" i="283"/>
  <c r="J300" i="283"/>
  <c r="I300" i="283"/>
  <c r="G300" i="283"/>
  <c r="F300" i="283"/>
  <c r="E300" i="283"/>
  <c r="D300" i="283"/>
  <c r="C300" i="283"/>
  <c r="L299" i="283"/>
  <c r="M299" i="283" s="1"/>
  <c r="O299" i="283" s="1"/>
  <c r="H299" i="283"/>
  <c r="L297" i="283"/>
  <c r="H297" i="283"/>
  <c r="L296" i="283"/>
  <c r="H296" i="283"/>
  <c r="L295" i="283"/>
  <c r="H295" i="283"/>
  <c r="L294" i="283"/>
  <c r="H294" i="283"/>
  <c r="L292" i="283"/>
  <c r="L302" i="283" s="1"/>
  <c r="H292" i="283"/>
  <c r="H302" i="283" s="1"/>
  <c r="L291" i="283"/>
  <c r="H291" i="283"/>
  <c r="H301" i="283" s="1"/>
  <c r="L290" i="283"/>
  <c r="L300" i="283" s="1"/>
  <c r="H290" i="283"/>
  <c r="N287" i="283"/>
  <c r="K287" i="283"/>
  <c r="J287" i="283"/>
  <c r="I287" i="283"/>
  <c r="G287" i="283"/>
  <c r="F287" i="283"/>
  <c r="E287" i="283"/>
  <c r="D287" i="283"/>
  <c r="C287" i="283"/>
  <c r="N286" i="283"/>
  <c r="K286" i="283"/>
  <c r="J286" i="283"/>
  <c r="I286" i="283"/>
  <c r="G286" i="283"/>
  <c r="F286" i="283"/>
  <c r="E286" i="283"/>
  <c r="D286" i="283"/>
  <c r="C286" i="283"/>
  <c r="N285" i="283"/>
  <c r="K285" i="283"/>
  <c r="J285" i="283"/>
  <c r="I285" i="283"/>
  <c r="G285" i="283"/>
  <c r="F285" i="283"/>
  <c r="E285" i="283"/>
  <c r="D285" i="283"/>
  <c r="C285" i="283"/>
  <c r="L284" i="283"/>
  <c r="H284" i="283"/>
  <c r="L282" i="283"/>
  <c r="L431" i="283" s="1"/>
  <c r="H282" i="283"/>
  <c r="H431" i="283" s="1"/>
  <c r="L281" i="283"/>
  <c r="H281" i="283"/>
  <c r="L280" i="283"/>
  <c r="H280" i="283"/>
  <c r="L279" i="283"/>
  <c r="H279" i="283"/>
  <c r="L277" i="283"/>
  <c r="L287" i="283" s="1"/>
  <c r="H277" i="283"/>
  <c r="H287" i="283" s="1"/>
  <c r="L276" i="283"/>
  <c r="H276" i="283"/>
  <c r="L275" i="283"/>
  <c r="L285" i="283" s="1"/>
  <c r="H275" i="283"/>
  <c r="H285" i="283" s="1"/>
  <c r="N273" i="283"/>
  <c r="K273" i="283"/>
  <c r="J273" i="283"/>
  <c r="I273" i="283"/>
  <c r="G273" i="283"/>
  <c r="F273" i="283"/>
  <c r="E273" i="283"/>
  <c r="D273" i="283"/>
  <c r="C273" i="283"/>
  <c r="N272" i="283"/>
  <c r="K272" i="283"/>
  <c r="J272" i="283"/>
  <c r="I272" i="283"/>
  <c r="G272" i="283"/>
  <c r="F272" i="283"/>
  <c r="E272" i="283"/>
  <c r="D272" i="283"/>
  <c r="C272" i="283"/>
  <c r="N271" i="283"/>
  <c r="K271" i="283"/>
  <c r="J271" i="283"/>
  <c r="I271" i="283"/>
  <c r="G271" i="283"/>
  <c r="F271" i="283"/>
  <c r="E271" i="283"/>
  <c r="D271" i="283"/>
  <c r="C271" i="283"/>
  <c r="M270" i="283"/>
  <c r="O270" i="283" s="1"/>
  <c r="L270" i="283"/>
  <c r="H270" i="283"/>
  <c r="M268" i="283"/>
  <c r="O268" i="283" s="1"/>
  <c r="L268" i="283"/>
  <c r="H268" i="283"/>
  <c r="L267" i="283"/>
  <c r="H267" i="283"/>
  <c r="M267" i="283" s="1"/>
  <c r="O267" i="283" s="1"/>
  <c r="L266" i="283"/>
  <c r="H266" i="283"/>
  <c r="L264" i="283"/>
  <c r="L273" i="283" s="1"/>
  <c r="H264" i="283"/>
  <c r="L263" i="283"/>
  <c r="L272" i="283" s="1"/>
  <c r="H263" i="283"/>
  <c r="L262" i="283"/>
  <c r="H262" i="283"/>
  <c r="N260" i="283"/>
  <c r="K260" i="283"/>
  <c r="J260" i="283"/>
  <c r="I260" i="283"/>
  <c r="G260" i="283"/>
  <c r="F260" i="283"/>
  <c r="E260" i="283"/>
  <c r="D260" i="283"/>
  <c r="C260" i="283"/>
  <c r="N259" i="283"/>
  <c r="K259" i="283"/>
  <c r="J259" i="283"/>
  <c r="I259" i="283"/>
  <c r="G259" i="283"/>
  <c r="F259" i="283"/>
  <c r="E259" i="283"/>
  <c r="D259" i="283"/>
  <c r="C259" i="283"/>
  <c r="N258" i="283"/>
  <c r="K258" i="283"/>
  <c r="K288" i="283" s="1"/>
  <c r="J258" i="283"/>
  <c r="I258" i="283"/>
  <c r="G258" i="283"/>
  <c r="F258" i="283"/>
  <c r="E258" i="283"/>
  <c r="D258" i="283"/>
  <c r="C258" i="283"/>
  <c r="L257" i="283"/>
  <c r="H257" i="283"/>
  <c r="L255" i="283"/>
  <c r="H255" i="283"/>
  <c r="L254" i="283"/>
  <c r="H254" i="283"/>
  <c r="L253" i="283"/>
  <c r="H253" i="283"/>
  <c r="M253" i="283" s="1"/>
  <c r="O253" i="283" s="1"/>
  <c r="L252" i="283"/>
  <c r="H252" i="283"/>
  <c r="L250" i="283"/>
  <c r="H250" i="283"/>
  <c r="L249" i="283"/>
  <c r="H249" i="283"/>
  <c r="L248" i="283"/>
  <c r="H248" i="283"/>
  <c r="N244" i="283"/>
  <c r="K244" i="283"/>
  <c r="J244" i="283"/>
  <c r="I244" i="283"/>
  <c r="G244" i="283"/>
  <c r="F244" i="283"/>
  <c r="E244" i="283"/>
  <c r="D244" i="283"/>
  <c r="C244" i="283"/>
  <c r="N243" i="283"/>
  <c r="K243" i="283"/>
  <c r="J243" i="283"/>
  <c r="I243" i="283"/>
  <c r="G243" i="283"/>
  <c r="F243" i="283"/>
  <c r="E243" i="283"/>
  <c r="D243" i="283"/>
  <c r="C243" i="283"/>
  <c r="N242" i="283"/>
  <c r="K242" i="283"/>
  <c r="J242" i="283"/>
  <c r="I242" i="283"/>
  <c r="G242" i="283"/>
  <c r="F242" i="283"/>
  <c r="E242" i="283"/>
  <c r="D242" i="283"/>
  <c r="C242" i="283"/>
  <c r="L241" i="283"/>
  <c r="H241" i="283"/>
  <c r="M241" i="283" s="1"/>
  <c r="O241" i="283" s="1"/>
  <c r="L239" i="283"/>
  <c r="H239" i="283"/>
  <c r="L237" i="283"/>
  <c r="L244" i="283" s="1"/>
  <c r="H237" i="283"/>
  <c r="L236" i="283"/>
  <c r="L243" i="283" s="1"/>
  <c r="H236" i="283"/>
  <c r="H243" i="283" s="1"/>
  <c r="L235" i="283"/>
  <c r="H235" i="283"/>
  <c r="M235" i="283" s="1"/>
  <c r="N233" i="283"/>
  <c r="K233" i="283"/>
  <c r="J233" i="283"/>
  <c r="I233" i="283"/>
  <c r="G233" i="283"/>
  <c r="F233" i="283"/>
  <c r="E233" i="283"/>
  <c r="D233" i="283"/>
  <c r="C233" i="283"/>
  <c r="N232" i="283"/>
  <c r="K232" i="283"/>
  <c r="J232" i="283"/>
  <c r="I232" i="283"/>
  <c r="G232" i="283"/>
  <c r="F232" i="283"/>
  <c r="E232" i="283"/>
  <c r="D232" i="283"/>
  <c r="C232" i="283"/>
  <c r="N231" i="283"/>
  <c r="K231" i="283"/>
  <c r="J231" i="283"/>
  <c r="I231" i="283"/>
  <c r="G231" i="283"/>
  <c r="F231" i="283"/>
  <c r="E231" i="283"/>
  <c r="D231" i="283"/>
  <c r="C231" i="283"/>
  <c r="L230" i="283"/>
  <c r="H230" i="283"/>
  <c r="L229" i="283"/>
  <c r="M229" i="283" s="1"/>
  <c r="O229" i="283" s="1"/>
  <c r="H229" i="283"/>
  <c r="L227" i="283"/>
  <c r="H227" i="283"/>
  <c r="L225" i="283"/>
  <c r="L233" i="283" s="1"/>
  <c r="H225" i="283"/>
  <c r="H233" i="283" s="1"/>
  <c r="L224" i="283"/>
  <c r="L232" i="283" s="1"/>
  <c r="H224" i="283"/>
  <c r="L223" i="283"/>
  <c r="H223" i="283"/>
  <c r="N221" i="283"/>
  <c r="K221" i="283"/>
  <c r="J221" i="283"/>
  <c r="I221" i="283"/>
  <c r="G221" i="283"/>
  <c r="F221" i="283"/>
  <c r="E221" i="283"/>
  <c r="D221" i="283"/>
  <c r="C221" i="283"/>
  <c r="N220" i="283"/>
  <c r="K220" i="283"/>
  <c r="J220" i="283"/>
  <c r="I220" i="283"/>
  <c r="G220" i="283"/>
  <c r="F220" i="283"/>
  <c r="E220" i="283"/>
  <c r="D220" i="283"/>
  <c r="C220" i="283"/>
  <c r="N219" i="283"/>
  <c r="K219" i="283"/>
  <c r="J219" i="283"/>
  <c r="I219" i="283"/>
  <c r="G219" i="283"/>
  <c r="F219" i="283"/>
  <c r="E219" i="283"/>
  <c r="D219" i="283"/>
  <c r="C219" i="283"/>
  <c r="L218" i="283"/>
  <c r="H218" i="283"/>
  <c r="L216" i="283"/>
  <c r="H216" i="283"/>
  <c r="L214" i="283"/>
  <c r="L221" i="283" s="1"/>
  <c r="H214" i="283"/>
  <c r="L213" i="283"/>
  <c r="H213" i="283"/>
  <c r="H220" i="283" s="1"/>
  <c r="L212" i="283"/>
  <c r="H212" i="283"/>
  <c r="H219" i="283" s="1"/>
  <c r="N210" i="283"/>
  <c r="K210" i="283"/>
  <c r="J210" i="283"/>
  <c r="I210" i="283"/>
  <c r="G210" i="283"/>
  <c r="F210" i="283"/>
  <c r="E210" i="283"/>
  <c r="D210" i="283"/>
  <c r="C210" i="283"/>
  <c r="N209" i="283"/>
  <c r="K209" i="283"/>
  <c r="J209" i="283"/>
  <c r="I209" i="283"/>
  <c r="G209" i="283"/>
  <c r="F209" i="283"/>
  <c r="E209" i="283"/>
  <c r="D209" i="283"/>
  <c r="C209" i="283"/>
  <c r="N208" i="283"/>
  <c r="K208" i="283"/>
  <c r="J208" i="283"/>
  <c r="I208" i="283"/>
  <c r="G208" i="283"/>
  <c r="F208" i="283"/>
  <c r="E208" i="283"/>
  <c r="D208" i="283"/>
  <c r="C208" i="283"/>
  <c r="L207" i="283"/>
  <c r="H207" i="283"/>
  <c r="L205" i="283"/>
  <c r="H205" i="283"/>
  <c r="M205" i="283" s="1"/>
  <c r="O205" i="283" s="1"/>
  <c r="L203" i="283"/>
  <c r="L210" i="283" s="1"/>
  <c r="H203" i="283"/>
  <c r="H210" i="283" s="1"/>
  <c r="L202" i="283"/>
  <c r="L209" i="283" s="1"/>
  <c r="H202" i="283"/>
  <c r="L201" i="283"/>
  <c r="M201" i="283" s="1"/>
  <c r="O201" i="283" s="1"/>
  <c r="H201" i="283"/>
  <c r="N199" i="283"/>
  <c r="K199" i="283"/>
  <c r="J199" i="283"/>
  <c r="I199" i="283"/>
  <c r="G199" i="283"/>
  <c r="F199" i="283"/>
  <c r="E199" i="283"/>
  <c r="D199" i="283"/>
  <c r="C199" i="283"/>
  <c r="N198" i="283"/>
  <c r="K198" i="283"/>
  <c r="J198" i="283"/>
  <c r="I198" i="283"/>
  <c r="G198" i="283"/>
  <c r="F198" i="283"/>
  <c r="E198" i="283"/>
  <c r="D198" i="283"/>
  <c r="C198" i="283"/>
  <c r="N197" i="283"/>
  <c r="K197" i="283"/>
  <c r="J197" i="283"/>
  <c r="I197" i="283"/>
  <c r="G197" i="283"/>
  <c r="F197" i="283"/>
  <c r="E197" i="283"/>
  <c r="D197" i="283"/>
  <c r="C197" i="283"/>
  <c r="L196" i="283"/>
  <c r="H196" i="283"/>
  <c r="M196" i="283" s="1"/>
  <c r="O196" i="283" s="1"/>
  <c r="L194" i="283"/>
  <c r="H194" i="283"/>
  <c r="L193" i="283"/>
  <c r="H193" i="283"/>
  <c r="M193" i="283" s="1"/>
  <c r="O193" i="283" s="1"/>
  <c r="L191" i="283"/>
  <c r="L199" i="283" s="1"/>
  <c r="H191" i="283"/>
  <c r="H199" i="283" s="1"/>
  <c r="L190" i="283"/>
  <c r="H190" i="283"/>
  <c r="H198" i="283" s="1"/>
  <c r="L189" i="283"/>
  <c r="L197" i="283" s="1"/>
  <c r="H189" i="283"/>
  <c r="H197" i="283" s="1"/>
  <c r="N187" i="283"/>
  <c r="K187" i="283"/>
  <c r="J187" i="283"/>
  <c r="I187" i="283"/>
  <c r="G187" i="283"/>
  <c r="F187" i="283"/>
  <c r="E187" i="283"/>
  <c r="D187" i="283"/>
  <c r="C187" i="283"/>
  <c r="N186" i="283"/>
  <c r="K186" i="283"/>
  <c r="J186" i="283"/>
  <c r="I186" i="283"/>
  <c r="G186" i="283"/>
  <c r="F186" i="283"/>
  <c r="E186" i="283"/>
  <c r="D186" i="283"/>
  <c r="C186" i="283"/>
  <c r="N185" i="283"/>
  <c r="K185" i="283"/>
  <c r="J185" i="283"/>
  <c r="I185" i="283"/>
  <c r="G185" i="283"/>
  <c r="F185" i="283"/>
  <c r="E185" i="283"/>
  <c r="D185" i="283"/>
  <c r="C185" i="283"/>
  <c r="L184" i="283"/>
  <c r="H184" i="283"/>
  <c r="M184" i="283" s="1"/>
  <c r="O184" i="283" s="1"/>
  <c r="L182" i="283"/>
  <c r="H182" i="283"/>
  <c r="L181" i="283"/>
  <c r="H181" i="283"/>
  <c r="L180" i="283"/>
  <c r="H180" i="283"/>
  <c r="L178" i="283"/>
  <c r="L187" i="283" s="1"/>
  <c r="H178" i="283"/>
  <c r="L177" i="283"/>
  <c r="H177" i="283"/>
  <c r="H186" i="283" s="1"/>
  <c r="L176" i="283"/>
  <c r="H176" i="283"/>
  <c r="M176" i="283" s="1"/>
  <c r="O176" i="283" s="1"/>
  <c r="N174" i="283"/>
  <c r="K174" i="283"/>
  <c r="J174" i="283"/>
  <c r="I174" i="283"/>
  <c r="G174" i="283"/>
  <c r="F174" i="283"/>
  <c r="E174" i="283"/>
  <c r="D174" i="283"/>
  <c r="C174" i="283"/>
  <c r="N173" i="283"/>
  <c r="K173" i="283"/>
  <c r="J173" i="283"/>
  <c r="I173" i="283"/>
  <c r="G173" i="283"/>
  <c r="F173" i="283"/>
  <c r="E173" i="283"/>
  <c r="D173" i="283"/>
  <c r="C173" i="283"/>
  <c r="N172" i="283"/>
  <c r="K172" i="283"/>
  <c r="J172" i="283"/>
  <c r="I172" i="283"/>
  <c r="G172" i="283"/>
  <c r="F172" i="283"/>
  <c r="E172" i="283"/>
  <c r="D172" i="283"/>
  <c r="C172" i="283"/>
  <c r="L171" i="283"/>
  <c r="H171" i="283"/>
  <c r="L169" i="283"/>
  <c r="H169" i="283"/>
  <c r="M169" i="283" s="1"/>
  <c r="O169" i="283" s="1"/>
  <c r="L168" i="283"/>
  <c r="H168" i="283"/>
  <c r="L166" i="283"/>
  <c r="H166" i="283"/>
  <c r="M166" i="283" s="1"/>
  <c r="L165" i="283"/>
  <c r="H165" i="283"/>
  <c r="L164" i="283"/>
  <c r="L172" i="283" s="1"/>
  <c r="H164" i="283"/>
  <c r="N162" i="283"/>
  <c r="K162" i="283"/>
  <c r="J162" i="283"/>
  <c r="I162" i="283"/>
  <c r="G162" i="283"/>
  <c r="F162" i="283"/>
  <c r="E162" i="283"/>
  <c r="D162" i="283"/>
  <c r="C162" i="283"/>
  <c r="N161" i="283"/>
  <c r="K161" i="283"/>
  <c r="J161" i="283"/>
  <c r="I161" i="283"/>
  <c r="G161" i="283"/>
  <c r="F161" i="283"/>
  <c r="E161" i="283"/>
  <c r="D161" i="283"/>
  <c r="C161" i="283"/>
  <c r="N160" i="283"/>
  <c r="K160" i="283"/>
  <c r="J160" i="283"/>
  <c r="I160" i="283"/>
  <c r="G160" i="283"/>
  <c r="F160" i="283"/>
  <c r="E160" i="283"/>
  <c r="D160" i="283"/>
  <c r="C160" i="283"/>
  <c r="L159" i="283"/>
  <c r="H159" i="283"/>
  <c r="L157" i="283"/>
  <c r="H157" i="283"/>
  <c r="L156" i="283"/>
  <c r="H156" i="283"/>
  <c r="L154" i="283"/>
  <c r="H154" i="283"/>
  <c r="M154" i="283" s="1"/>
  <c r="O154" i="283" s="1"/>
  <c r="L153" i="283"/>
  <c r="L161" i="283" s="1"/>
  <c r="H153" i="283"/>
  <c r="M153" i="283" s="1"/>
  <c r="L152" i="283"/>
  <c r="L160" i="283" s="1"/>
  <c r="H152" i="283"/>
  <c r="N150" i="283"/>
  <c r="K150" i="283"/>
  <c r="J150" i="283"/>
  <c r="I150" i="283"/>
  <c r="G150" i="283"/>
  <c r="F150" i="283"/>
  <c r="E150" i="283"/>
  <c r="D150" i="283"/>
  <c r="C150" i="283"/>
  <c r="N149" i="283"/>
  <c r="K149" i="283"/>
  <c r="J149" i="283"/>
  <c r="I149" i="283"/>
  <c r="G149" i="283"/>
  <c r="F149" i="283"/>
  <c r="E149" i="283"/>
  <c r="D149" i="283"/>
  <c r="C149" i="283"/>
  <c r="N148" i="283"/>
  <c r="K148" i="283"/>
  <c r="J148" i="283"/>
  <c r="I148" i="283"/>
  <c r="G148" i="283"/>
  <c r="F148" i="283"/>
  <c r="E148" i="283"/>
  <c r="D148" i="283"/>
  <c r="C148" i="283"/>
  <c r="L147" i="283"/>
  <c r="H147" i="283"/>
  <c r="L145" i="283"/>
  <c r="H145" i="283"/>
  <c r="L144" i="283"/>
  <c r="H144" i="283"/>
  <c r="L142" i="283"/>
  <c r="L150" i="283" s="1"/>
  <c r="H142" i="283"/>
  <c r="L141" i="283"/>
  <c r="L149" i="283" s="1"/>
  <c r="H141" i="283"/>
  <c r="L140" i="283"/>
  <c r="H140" i="283"/>
  <c r="N138" i="283"/>
  <c r="K138" i="283"/>
  <c r="J138" i="283"/>
  <c r="I138" i="283"/>
  <c r="G138" i="283"/>
  <c r="F138" i="283"/>
  <c r="E138" i="283"/>
  <c r="D138" i="283"/>
  <c r="C138" i="283"/>
  <c r="N137" i="283"/>
  <c r="K137" i="283"/>
  <c r="J137" i="283"/>
  <c r="I137" i="283"/>
  <c r="G137" i="283"/>
  <c r="F137" i="283"/>
  <c r="E137" i="283"/>
  <c r="D137" i="283"/>
  <c r="C137" i="283"/>
  <c r="N136" i="283"/>
  <c r="K136" i="283"/>
  <c r="J136" i="283"/>
  <c r="I136" i="283"/>
  <c r="G136" i="283"/>
  <c r="F136" i="283"/>
  <c r="E136" i="283"/>
  <c r="D136" i="283"/>
  <c r="C136" i="283"/>
  <c r="L135" i="283"/>
  <c r="H135" i="283"/>
  <c r="L133" i="283"/>
  <c r="H133" i="283"/>
  <c r="L131" i="283"/>
  <c r="L138" i="283" s="1"/>
  <c r="H131" i="283"/>
  <c r="H138" i="283" s="1"/>
  <c r="L130" i="283"/>
  <c r="L137" i="283" s="1"/>
  <c r="H130" i="283"/>
  <c r="L129" i="283"/>
  <c r="H129" i="283"/>
  <c r="H136" i="283" s="1"/>
  <c r="N127" i="283"/>
  <c r="K127" i="283"/>
  <c r="J127" i="283"/>
  <c r="I127" i="283"/>
  <c r="G127" i="283"/>
  <c r="F127" i="283"/>
  <c r="E127" i="283"/>
  <c r="D127" i="283"/>
  <c r="C127" i="283"/>
  <c r="N126" i="283"/>
  <c r="K126" i="283"/>
  <c r="J126" i="283"/>
  <c r="I126" i="283"/>
  <c r="G126" i="283"/>
  <c r="F126" i="283"/>
  <c r="E126" i="283"/>
  <c r="D126" i="283"/>
  <c r="C126" i="283"/>
  <c r="N125" i="283"/>
  <c r="K125" i="283"/>
  <c r="J125" i="283"/>
  <c r="I125" i="283"/>
  <c r="G125" i="283"/>
  <c r="F125" i="283"/>
  <c r="E125" i="283"/>
  <c r="D125" i="283"/>
  <c r="C125" i="283"/>
  <c r="L124" i="283"/>
  <c r="H124" i="283"/>
  <c r="L122" i="283"/>
  <c r="H122" i="283"/>
  <c r="M122" i="283" s="1"/>
  <c r="O122" i="283" s="1"/>
  <c r="L120" i="283"/>
  <c r="L127" i="283" s="1"/>
  <c r="H120" i="283"/>
  <c r="L119" i="283"/>
  <c r="L126" i="283" s="1"/>
  <c r="H119" i="283"/>
  <c r="H126" i="283" s="1"/>
  <c r="L118" i="283"/>
  <c r="H118" i="283"/>
  <c r="N116" i="283"/>
  <c r="K116" i="283"/>
  <c r="J116" i="283"/>
  <c r="I116" i="283"/>
  <c r="G116" i="283"/>
  <c r="F116" i="283"/>
  <c r="E116" i="283"/>
  <c r="D116" i="283"/>
  <c r="C116" i="283"/>
  <c r="N115" i="283"/>
  <c r="K115" i="283"/>
  <c r="J115" i="283"/>
  <c r="I115" i="283"/>
  <c r="G115" i="283"/>
  <c r="F115" i="283"/>
  <c r="E115" i="283"/>
  <c r="D115" i="283"/>
  <c r="C115" i="283"/>
  <c r="N114" i="283"/>
  <c r="K114" i="283"/>
  <c r="J114" i="283"/>
  <c r="I114" i="283"/>
  <c r="G114" i="283"/>
  <c r="F114" i="283"/>
  <c r="E114" i="283"/>
  <c r="D114" i="283"/>
  <c r="C114" i="283"/>
  <c r="L113" i="283"/>
  <c r="H113" i="283"/>
  <c r="L111" i="283"/>
  <c r="M111" i="283" s="1"/>
  <c r="O111" i="283" s="1"/>
  <c r="H111" i="283"/>
  <c r="L109" i="283"/>
  <c r="L116" i="283" s="1"/>
  <c r="H109" i="283"/>
  <c r="H116" i="283" s="1"/>
  <c r="L108" i="283"/>
  <c r="L115" i="283" s="1"/>
  <c r="H108" i="283"/>
  <c r="H115" i="283" s="1"/>
  <c r="L107" i="283"/>
  <c r="H107" i="283"/>
  <c r="H114" i="283" s="1"/>
  <c r="N104" i="283"/>
  <c r="K104" i="283"/>
  <c r="J104" i="283"/>
  <c r="I104" i="283"/>
  <c r="G104" i="283"/>
  <c r="F104" i="283"/>
  <c r="E104" i="283"/>
  <c r="D104" i="283"/>
  <c r="C104" i="283"/>
  <c r="N103" i="283"/>
  <c r="K103" i="283"/>
  <c r="J103" i="283"/>
  <c r="I103" i="283"/>
  <c r="G103" i="283"/>
  <c r="F103" i="283"/>
  <c r="E103" i="283"/>
  <c r="D103" i="283"/>
  <c r="C103" i="283"/>
  <c r="N102" i="283"/>
  <c r="K102" i="283"/>
  <c r="J102" i="283"/>
  <c r="I102" i="283"/>
  <c r="G102" i="283"/>
  <c r="F102" i="283"/>
  <c r="E102" i="283"/>
  <c r="D102" i="283"/>
  <c r="C102" i="283"/>
  <c r="L101" i="283"/>
  <c r="H101" i="283"/>
  <c r="L99" i="283"/>
  <c r="H99" i="283"/>
  <c r="L98" i="283"/>
  <c r="H98" i="283"/>
  <c r="L96" i="283"/>
  <c r="H96" i="283"/>
  <c r="L95" i="283"/>
  <c r="L103" i="283" s="1"/>
  <c r="H95" i="283"/>
  <c r="H103" i="283" s="1"/>
  <c r="L94" i="283"/>
  <c r="H94" i="283"/>
  <c r="N92" i="283"/>
  <c r="K92" i="283"/>
  <c r="J92" i="283"/>
  <c r="I92" i="283"/>
  <c r="G92" i="283"/>
  <c r="F92" i="283"/>
  <c r="E92" i="283"/>
  <c r="D92" i="283"/>
  <c r="C92" i="283"/>
  <c r="N91" i="283"/>
  <c r="K91" i="283"/>
  <c r="J91" i="283"/>
  <c r="I91" i="283"/>
  <c r="G91" i="283"/>
  <c r="F91" i="283"/>
  <c r="E91" i="283"/>
  <c r="D91" i="283"/>
  <c r="C91" i="283"/>
  <c r="N90" i="283"/>
  <c r="K90" i="283"/>
  <c r="J90" i="283"/>
  <c r="I90" i="283"/>
  <c r="G90" i="283"/>
  <c r="F90" i="283"/>
  <c r="E90" i="283"/>
  <c r="D90" i="283"/>
  <c r="C90" i="283"/>
  <c r="L89" i="283"/>
  <c r="H89" i="283"/>
  <c r="M89" i="283" s="1"/>
  <c r="O89" i="283" s="1"/>
  <c r="L87" i="283"/>
  <c r="H87" i="283"/>
  <c r="M87" i="283" s="1"/>
  <c r="O87" i="283" s="1"/>
  <c r="L86" i="283"/>
  <c r="H86" i="283"/>
  <c r="M86" i="283" s="1"/>
  <c r="O86" i="283" s="1"/>
  <c r="L84" i="283"/>
  <c r="L92" i="283" s="1"/>
  <c r="H84" i="283"/>
  <c r="L83" i="283"/>
  <c r="L91" i="283" s="1"/>
  <c r="H83" i="283"/>
  <c r="M83" i="283" s="1"/>
  <c r="L82" i="283"/>
  <c r="L90" i="283" s="1"/>
  <c r="H82" i="283"/>
  <c r="N80" i="283"/>
  <c r="K80" i="283"/>
  <c r="J80" i="283"/>
  <c r="I80" i="283"/>
  <c r="G80" i="283"/>
  <c r="F80" i="283"/>
  <c r="E80" i="283"/>
  <c r="D80" i="283"/>
  <c r="C80" i="283"/>
  <c r="N79" i="283"/>
  <c r="K79" i="283"/>
  <c r="J79" i="283"/>
  <c r="I79" i="283"/>
  <c r="G79" i="283"/>
  <c r="F79" i="283"/>
  <c r="E79" i="283"/>
  <c r="D79" i="283"/>
  <c r="C79" i="283"/>
  <c r="N78" i="283"/>
  <c r="K78" i="283"/>
  <c r="J78" i="283"/>
  <c r="I78" i="283"/>
  <c r="G78" i="283"/>
  <c r="F78" i="283"/>
  <c r="E78" i="283"/>
  <c r="D78" i="283"/>
  <c r="C78" i="283"/>
  <c r="L77" i="283"/>
  <c r="H77" i="283"/>
  <c r="L75" i="283"/>
  <c r="H75" i="283"/>
  <c r="M75" i="283" s="1"/>
  <c r="O75" i="283" s="1"/>
  <c r="L74" i="283"/>
  <c r="H74" i="283"/>
  <c r="L72" i="283"/>
  <c r="H72" i="283"/>
  <c r="M72" i="283" s="1"/>
  <c r="L71" i="283"/>
  <c r="L79" i="283" s="1"/>
  <c r="H71" i="283"/>
  <c r="H79" i="283" s="1"/>
  <c r="L70" i="283"/>
  <c r="H70" i="283"/>
  <c r="M70" i="283" s="1"/>
  <c r="N68" i="283"/>
  <c r="K68" i="283"/>
  <c r="J68" i="283"/>
  <c r="I68" i="283"/>
  <c r="G68" i="283"/>
  <c r="F68" i="283"/>
  <c r="E68" i="283"/>
  <c r="D68" i="283"/>
  <c r="C68" i="283"/>
  <c r="N67" i="283"/>
  <c r="K67" i="283"/>
  <c r="J67" i="283"/>
  <c r="I67" i="283"/>
  <c r="G67" i="283"/>
  <c r="F67" i="283"/>
  <c r="E67" i="283"/>
  <c r="D67" i="283"/>
  <c r="C67" i="283"/>
  <c r="N66" i="283"/>
  <c r="K66" i="283"/>
  <c r="J66" i="283"/>
  <c r="I66" i="283"/>
  <c r="G66" i="283"/>
  <c r="F66" i="283"/>
  <c r="E66" i="283"/>
  <c r="D66" i="283"/>
  <c r="C66" i="283"/>
  <c r="L65" i="283"/>
  <c r="H65" i="283"/>
  <c r="L63" i="283"/>
  <c r="H63" i="283"/>
  <c r="M63" i="283" s="1"/>
  <c r="O63" i="283" s="1"/>
  <c r="L62" i="283"/>
  <c r="H62" i="283"/>
  <c r="L60" i="283"/>
  <c r="H60" i="283"/>
  <c r="L59" i="283"/>
  <c r="L67" i="283" s="1"/>
  <c r="H59" i="283"/>
  <c r="L58" i="283"/>
  <c r="H58" i="283"/>
  <c r="N56" i="283"/>
  <c r="K56" i="283"/>
  <c r="J56" i="283"/>
  <c r="I56" i="283"/>
  <c r="G56" i="283"/>
  <c r="F56" i="283"/>
  <c r="E56" i="283"/>
  <c r="D56" i="283"/>
  <c r="C56" i="283"/>
  <c r="N55" i="283"/>
  <c r="K55" i="283"/>
  <c r="J55" i="283"/>
  <c r="I55" i="283"/>
  <c r="G55" i="283"/>
  <c r="F55" i="283"/>
  <c r="E55" i="283"/>
  <c r="D55" i="283"/>
  <c r="C55" i="283"/>
  <c r="N54" i="283"/>
  <c r="K54" i="283"/>
  <c r="J54" i="283"/>
  <c r="I54" i="283"/>
  <c r="G54" i="283"/>
  <c r="F54" i="283"/>
  <c r="E54" i="283"/>
  <c r="D54" i="283"/>
  <c r="C54" i="283"/>
  <c r="L53" i="283"/>
  <c r="H53" i="283"/>
  <c r="L51" i="283"/>
  <c r="H51" i="283"/>
  <c r="L50" i="283"/>
  <c r="H50" i="283"/>
  <c r="L48" i="283"/>
  <c r="L56" i="283" s="1"/>
  <c r="H48" i="283"/>
  <c r="H56" i="283" s="1"/>
  <c r="L47" i="283"/>
  <c r="H47" i="283"/>
  <c r="L46" i="283"/>
  <c r="H46" i="283"/>
  <c r="H54" i="283" s="1"/>
  <c r="N44" i="283"/>
  <c r="K44" i="283"/>
  <c r="J44" i="283"/>
  <c r="I44" i="283"/>
  <c r="G44" i="283"/>
  <c r="F44" i="283"/>
  <c r="E44" i="283"/>
  <c r="D44" i="283"/>
  <c r="C44" i="283"/>
  <c r="N43" i="283"/>
  <c r="K43" i="283"/>
  <c r="J43" i="283"/>
  <c r="I43" i="283"/>
  <c r="G43" i="283"/>
  <c r="F43" i="283"/>
  <c r="E43" i="283"/>
  <c r="D43" i="283"/>
  <c r="C43" i="283"/>
  <c r="N42" i="283"/>
  <c r="K42" i="283"/>
  <c r="J42" i="283"/>
  <c r="I42" i="283"/>
  <c r="I105" i="283" s="1"/>
  <c r="G42" i="283"/>
  <c r="F42" i="283"/>
  <c r="E42" i="283"/>
  <c r="D42" i="283"/>
  <c r="D105" i="283" s="1"/>
  <c r="C42" i="283"/>
  <c r="L41" i="283"/>
  <c r="H41" i="283"/>
  <c r="L39" i="283"/>
  <c r="H39" i="283"/>
  <c r="L38" i="283"/>
  <c r="M38" i="283" s="1"/>
  <c r="O38" i="283" s="1"/>
  <c r="H38" i="283"/>
  <c r="L37" i="283"/>
  <c r="L43" i="283" s="1"/>
  <c r="H37" i="283"/>
  <c r="L35" i="283"/>
  <c r="H35" i="283"/>
  <c r="M34" i="283"/>
  <c r="L34" i="283"/>
  <c r="H34" i="283"/>
  <c r="L33" i="283"/>
  <c r="L42" i="283" s="1"/>
  <c r="H33" i="283"/>
  <c r="N30" i="283"/>
  <c r="K30" i="283"/>
  <c r="J30" i="283"/>
  <c r="I30" i="283"/>
  <c r="G30" i="283"/>
  <c r="F30" i="283"/>
  <c r="E30" i="283"/>
  <c r="D30" i="283"/>
  <c r="C30" i="283"/>
  <c r="N29" i="283"/>
  <c r="K29" i="283"/>
  <c r="J29" i="283"/>
  <c r="I29" i="283"/>
  <c r="G29" i="283"/>
  <c r="F29" i="283"/>
  <c r="E29" i="283"/>
  <c r="D29" i="283"/>
  <c r="C29" i="283"/>
  <c r="N28" i="283"/>
  <c r="K28" i="283"/>
  <c r="J28" i="283"/>
  <c r="I28" i="283"/>
  <c r="G28" i="283"/>
  <c r="F28" i="283"/>
  <c r="E28" i="283"/>
  <c r="D28" i="283"/>
  <c r="C28" i="283"/>
  <c r="L27" i="283"/>
  <c r="L441" i="283" s="1"/>
  <c r="H27" i="283"/>
  <c r="H441" i="283" s="1"/>
  <c r="L26" i="283"/>
  <c r="H26" i="283"/>
  <c r="M26" i="283" s="1"/>
  <c r="O26" i="283" s="1"/>
  <c r="L24" i="283"/>
  <c r="H24" i="283"/>
  <c r="L23" i="283"/>
  <c r="H23" i="283"/>
  <c r="M23" i="283" s="1"/>
  <c r="O23" i="283" s="1"/>
  <c r="L21" i="283"/>
  <c r="L30" i="283" s="1"/>
  <c r="H21" i="283"/>
  <c r="L20" i="283"/>
  <c r="L29" i="283" s="1"/>
  <c r="H20" i="283"/>
  <c r="L19" i="283"/>
  <c r="H19" i="283"/>
  <c r="N17" i="283"/>
  <c r="N456" i="283" s="1"/>
  <c r="K17" i="283"/>
  <c r="J17" i="283"/>
  <c r="I17" i="283"/>
  <c r="H17" i="283"/>
  <c r="G17" i="283"/>
  <c r="F17" i="283"/>
  <c r="E17" i="283"/>
  <c r="D17" i="283"/>
  <c r="D456" i="283" s="1"/>
  <c r="C17" i="283"/>
  <c r="N16" i="283"/>
  <c r="K16" i="283"/>
  <c r="J16" i="283"/>
  <c r="I16" i="283"/>
  <c r="G16" i="283"/>
  <c r="F16" i="283"/>
  <c r="E16" i="283"/>
  <c r="E455" i="283" s="1"/>
  <c r="D16" i="283"/>
  <c r="C16" i="283"/>
  <c r="N15" i="283"/>
  <c r="N31" i="283" s="1"/>
  <c r="K15" i="283"/>
  <c r="K31" i="283" s="1"/>
  <c r="J15" i="283"/>
  <c r="I15" i="283"/>
  <c r="G15" i="283"/>
  <c r="G31" i="283" s="1"/>
  <c r="F15" i="283"/>
  <c r="E15" i="283"/>
  <c r="D15" i="283"/>
  <c r="D31" i="283" s="1"/>
  <c r="C15" i="283"/>
  <c r="C31" i="283" s="1"/>
  <c r="L14" i="283"/>
  <c r="H14" i="283"/>
  <c r="L12" i="283"/>
  <c r="L425" i="283" s="1"/>
  <c r="H12" i="283"/>
  <c r="H15" i="283" s="1"/>
  <c r="L10" i="283"/>
  <c r="L17" i="283" s="1"/>
  <c r="H10" i="283"/>
  <c r="L9" i="283"/>
  <c r="L16" i="283" s="1"/>
  <c r="H9" i="283"/>
  <c r="H16" i="283" s="1"/>
  <c r="L8" i="283"/>
  <c r="H8" i="283"/>
  <c r="M41" i="283" l="1"/>
  <c r="O41" i="283" s="1"/>
  <c r="M135" i="283"/>
  <c r="O135" i="283" s="1"/>
  <c r="L174" i="283"/>
  <c r="L186" i="283"/>
  <c r="M279" i="283"/>
  <c r="O279" i="283" s="1"/>
  <c r="M294" i="283"/>
  <c r="O294" i="283" s="1"/>
  <c r="M366" i="283"/>
  <c r="M448" i="283" s="1"/>
  <c r="M391" i="283"/>
  <c r="O391" i="283" s="1"/>
  <c r="M393" i="283"/>
  <c r="O393" i="283" s="1"/>
  <c r="M395" i="283"/>
  <c r="O395" i="283" s="1"/>
  <c r="M20" i="283"/>
  <c r="M37" i="283"/>
  <c r="O37" i="283" s="1"/>
  <c r="L54" i="283"/>
  <c r="M227" i="283"/>
  <c r="O227" i="283" s="1"/>
  <c r="M394" i="283"/>
  <c r="O394" i="283" s="1"/>
  <c r="M59" i="283"/>
  <c r="M62" i="283"/>
  <c r="O62" i="283" s="1"/>
  <c r="M65" i="283"/>
  <c r="O65" i="283" s="1"/>
  <c r="M118" i="283"/>
  <c r="M120" i="283"/>
  <c r="M124" i="283"/>
  <c r="O124" i="283" s="1"/>
  <c r="H148" i="283"/>
  <c r="M180" i="283"/>
  <c r="O180" i="283" s="1"/>
  <c r="C288" i="283"/>
  <c r="G288" i="283"/>
  <c r="L399" i="283"/>
  <c r="H149" i="283"/>
  <c r="H172" i="283"/>
  <c r="H174" i="283"/>
  <c r="H231" i="283"/>
  <c r="M223" i="283"/>
  <c r="O223" i="283" s="1"/>
  <c r="M237" i="283"/>
  <c r="H244" i="283"/>
  <c r="M343" i="283"/>
  <c r="O343" i="283" s="1"/>
  <c r="H358" i="283"/>
  <c r="M365" i="283"/>
  <c r="O365" i="283" s="1"/>
  <c r="M410" i="283"/>
  <c r="M412" i="283"/>
  <c r="O412" i="283" s="1"/>
  <c r="C454" i="283"/>
  <c r="G454" i="283"/>
  <c r="N454" i="283"/>
  <c r="H29" i="283"/>
  <c r="H44" i="283"/>
  <c r="J105" i="283"/>
  <c r="M51" i="283"/>
  <c r="O51" i="283" s="1"/>
  <c r="H323" i="283"/>
  <c r="M316" i="283"/>
  <c r="O316" i="283" s="1"/>
  <c r="H446" i="283"/>
  <c r="M322" i="283"/>
  <c r="H324" i="283"/>
  <c r="H28" i="283"/>
  <c r="H31" i="283" s="1"/>
  <c r="M21" i="283"/>
  <c r="O21" i="283" s="1"/>
  <c r="M27" i="283"/>
  <c r="M441" i="283" s="1"/>
  <c r="M33" i="283"/>
  <c r="O33" i="283" s="1"/>
  <c r="H43" i="283"/>
  <c r="H209" i="283"/>
  <c r="M202" i="283"/>
  <c r="M209" i="283" s="1"/>
  <c r="H273" i="283"/>
  <c r="M264" i="283"/>
  <c r="M10" i="283"/>
  <c r="E31" i="283"/>
  <c r="I31" i="283"/>
  <c r="C455" i="283"/>
  <c r="G455" i="283"/>
  <c r="F456" i="283"/>
  <c r="J456" i="283"/>
  <c r="L28" i="283"/>
  <c r="L44" i="283"/>
  <c r="H429" i="283"/>
  <c r="M39" i="283"/>
  <c r="M43" i="283" s="1"/>
  <c r="F105" i="283"/>
  <c r="M82" i="283"/>
  <c r="O82" i="283" s="1"/>
  <c r="O90" i="283" s="1"/>
  <c r="H92" i="283"/>
  <c r="M84" i="283"/>
  <c r="M92" i="283" s="1"/>
  <c r="M98" i="283"/>
  <c r="O98" i="283" s="1"/>
  <c r="M101" i="283"/>
  <c r="O101" i="283" s="1"/>
  <c r="D245" i="283"/>
  <c r="D246" i="283" s="1"/>
  <c r="N245" i="283"/>
  <c r="M156" i="283"/>
  <c r="O156" i="283" s="1"/>
  <c r="M159" i="283"/>
  <c r="O159" i="283" s="1"/>
  <c r="O162" i="283" s="1"/>
  <c r="M181" i="283"/>
  <c r="O181" i="283" s="1"/>
  <c r="O185" i="283" s="1"/>
  <c r="M214" i="283"/>
  <c r="M221" i="283" s="1"/>
  <c r="H221" i="283"/>
  <c r="M218" i="283"/>
  <c r="O218" i="283" s="1"/>
  <c r="H232" i="283"/>
  <c r="M224" i="283"/>
  <c r="M248" i="283"/>
  <c r="O248" i="283" s="1"/>
  <c r="H258" i="283"/>
  <c r="M250" i="283"/>
  <c r="O250" i="283" s="1"/>
  <c r="H260" i="283"/>
  <c r="L271" i="283"/>
  <c r="H300" i="283"/>
  <c r="K401" i="283"/>
  <c r="L338" i="283"/>
  <c r="H367" i="283"/>
  <c r="M360" i="283"/>
  <c r="O360" i="283" s="1"/>
  <c r="M361" i="283"/>
  <c r="M368" i="283" s="1"/>
  <c r="M384" i="283"/>
  <c r="M387" i="283"/>
  <c r="O387" i="283" s="1"/>
  <c r="M390" i="283"/>
  <c r="O390" i="283" s="1"/>
  <c r="M392" i="283"/>
  <c r="O392" i="283" s="1"/>
  <c r="K455" i="283"/>
  <c r="H426" i="283"/>
  <c r="E105" i="283"/>
  <c r="M48" i="283"/>
  <c r="O48" i="283" s="1"/>
  <c r="O56" i="283" s="1"/>
  <c r="M91" i="283"/>
  <c r="L423" i="283"/>
  <c r="L438" i="283"/>
  <c r="F31" i="283"/>
  <c r="J31" i="283"/>
  <c r="I455" i="283"/>
  <c r="M19" i="283"/>
  <c r="O19" i="283" s="1"/>
  <c r="H30" i="283"/>
  <c r="M24" i="283"/>
  <c r="H42" i="283"/>
  <c r="M35" i="283"/>
  <c r="O35" i="283" s="1"/>
  <c r="L429" i="283"/>
  <c r="M74" i="283"/>
  <c r="O74" i="283" s="1"/>
  <c r="M77" i="283"/>
  <c r="O77" i="283" s="1"/>
  <c r="H91" i="283"/>
  <c r="H102" i="283"/>
  <c r="H104" i="283"/>
  <c r="M207" i="283"/>
  <c r="O207" i="283" s="1"/>
  <c r="O208" i="283" s="1"/>
  <c r="H242" i="283"/>
  <c r="L258" i="283"/>
  <c r="L288" i="283" s="1"/>
  <c r="H272" i="283"/>
  <c r="M263" i="283"/>
  <c r="H286" i="283"/>
  <c r="M317" i="283"/>
  <c r="M324" i="283" s="1"/>
  <c r="H356" i="283"/>
  <c r="L367" i="283"/>
  <c r="K105" i="283"/>
  <c r="H55" i="283"/>
  <c r="H66" i="283"/>
  <c r="H68" i="283"/>
  <c r="H80" i="283"/>
  <c r="L114" i="283"/>
  <c r="M109" i="283"/>
  <c r="M113" i="283"/>
  <c r="O113" i="283" s="1"/>
  <c r="F245" i="283"/>
  <c r="J245" i="283"/>
  <c r="J246" i="283" s="1"/>
  <c r="L136" i="283"/>
  <c r="M140" i="283"/>
  <c r="M142" i="283"/>
  <c r="O142" i="283" s="1"/>
  <c r="L148" i="283"/>
  <c r="H161" i="283"/>
  <c r="L162" i="283"/>
  <c r="M157" i="283"/>
  <c r="O157" i="283" s="1"/>
  <c r="H173" i="283"/>
  <c r="H208" i="283"/>
  <c r="L231" i="283"/>
  <c r="H440" i="283"/>
  <c r="L242" i="283"/>
  <c r="L260" i="283"/>
  <c r="H430" i="283"/>
  <c r="I288" i="283"/>
  <c r="M281" i="283"/>
  <c r="O281" i="283" s="1"/>
  <c r="M284" i="283"/>
  <c r="O284" i="283" s="1"/>
  <c r="M296" i="283"/>
  <c r="O296" i="283" s="1"/>
  <c r="C401" i="283"/>
  <c r="G401" i="283"/>
  <c r="L323" i="283"/>
  <c r="L356" i="283"/>
  <c r="L358" i="283"/>
  <c r="L380" i="283"/>
  <c r="H398" i="283"/>
  <c r="M388" i="283"/>
  <c r="O388" i="283" s="1"/>
  <c r="M404" i="283"/>
  <c r="O404" i="283" s="1"/>
  <c r="H420" i="283"/>
  <c r="M409" i="283"/>
  <c r="O409" i="283" s="1"/>
  <c r="M411" i="283"/>
  <c r="O411" i="283" s="1"/>
  <c r="M415" i="283"/>
  <c r="O415" i="283" s="1"/>
  <c r="M417" i="283"/>
  <c r="E454" i="283"/>
  <c r="J454" i="283"/>
  <c r="C105" i="283"/>
  <c r="G105" i="283"/>
  <c r="N105" i="283"/>
  <c r="L55" i="283"/>
  <c r="M50" i="283"/>
  <c r="O50" i="283" s="1"/>
  <c r="M53" i="283"/>
  <c r="O53" i="283" s="1"/>
  <c r="L66" i="283"/>
  <c r="L68" i="283"/>
  <c r="L78" i="283"/>
  <c r="L80" i="283"/>
  <c r="H78" i="283"/>
  <c r="H90" i="283"/>
  <c r="L102" i="283"/>
  <c r="M96" i="283"/>
  <c r="O96" i="283" s="1"/>
  <c r="O104" i="283" s="1"/>
  <c r="M99" i="283"/>
  <c r="O99" i="283" s="1"/>
  <c r="L104" i="283"/>
  <c r="L125" i="283"/>
  <c r="M130" i="283"/>
  <c r="O130" i="283" s="1"/>
  <c r="O137" i="283" s="1"/>
  <c r="M133" i="283"/>
  <c r="O133" i="283" s="1"/>
  <c r="M145" i="283"/>
  <c r="O145" i="283" s="1"/>
  <c r="H150" i="283"/>
  <c r="M164" i="283"/>
  <c r="O164" i="283" s="1"/>
  <c r="L185" i="283"/>
  <c r="H187" i="283"/>
  <c r="M182" i="283"/>
  <c r="O182" i="283" s="1"/>
  <c r="L208" i="283"/>
  <c r="M212" i="283"/>
  <c r="O212" i="283" s="1"/>
  <c r="L219" i="283"/>
  <c r="L440" i="283"/>
  <c r="M239" i="283"/>
  <c r="O239" i="283" s="1"/>
  <c r="H259" i="283"/>
  <c r="N288" i="283"/>
  <c r="M262" i="283"/>
  <c r="O262" i="283" s="1"/>
  <c r="M266" i="283"/>
  <c r="O266" i="283" s="1"/>
  <c r="E288" i="283"/>
  <c r="L313" i="283"/>
  <c r="L437" i="283"/>
  <c r="I401" i="283"/>
  <c r="M326" i="283"/>
  <c r="M328" i="283"/>
  <c r="M339" i="283" s="1"/>
  <c r="M333" i="283"/>
  <c r="O333" i="283" s="1"/>
  <c r="M336" i="283"/>
  <c r="O336" i="283" s="1"/>
  <c r="H357" i="283"/>
  <c r="M345" i="283"/>
  <c r="O345" i="283" s="1"/>
  <c r="M347" i="283"/>
  <c r="O347" i="283" s="1"/>
  <c r="M352" i="283"/>
  <c r="O352" i="283" s="1"/>
  <c r="M354" i="283"/>
  <c r="O354" i="283" s="1"/>
  <c r="H368" i="283"/>
  <c r="H381" i="283"/>
  <c r="M374" i="283"/>
  <c r="O374" i="283" s="1"/>
  <c r="M378" i="283"/>
  <c r="O378" i="283" s="1"/>
  <c r="L398" i="283"/>
  <c r="L400" i="283"/>
  <c r="L418" i="283"/>
  <c r="L420" i="283"/>
  <c r="F454" i="283"/>
  <c r="K454" i="283"/>
  <c r="M104" i="283"/>
  <c r="M137" i="283"/>
  <c r="N246" i="283"/>
  <c r="M67" i="283"/>
  <c r="O59" i="283"/>
  <c r="O67" i="283" s="1"/>
  <c r="M56" i="283"/>
  <c r="O10" i="283"/>
  <c r="H105" i="283"/>
  <c r="O70" i="283"/>
  <c r="O78" i="283" s="1"/>
  <c r="O72" i="283"/>
  <c r="M80" i="283"/>
  <c r="O109" i="283"/>
  <c r="O116" i="283" s="1"/>
  <c r="M125" i="283"/>
  <c r="O118" i="283"/>
  <c r="O125" i="283" s="1"/>
  <c r="M127" i="283"/>
  <c r="O120" i="283"/>
  <c r="O127" i="283" s="1"/>
  <c r="M58" i="283"/>
  <c r="M60" i="283"/>
  <c r="H67" i="283"/>
  <c r="H423" i="283"/>
  <c r="H425" i="283"/>
  <c r="H438" i="283"/>
  <c r="F455" i="283"/>
  <c r="J455" i="283"/>
  <c r="N455" i="283"/>
  <c r="E456" i="283"/>
  <c r="I456" i="283"/>
  <c r="L426" i="283"/>
  <c r="M46" i="283"/>
  <c r="M47" i="283"/>
  <c r="M94" i="283"/>
  <c r="M95" i="283"/>
  <c r="M107" i="283"/>
  <c r="M108" i="283"/>
  <c r="E245" i="283"/>
  <c r="I245" i="283"/>
  <c r="I246" i="283" s="1"/>
  <c r="H127" i="283"/>
  <c r="H137" i="283"/>
  <c r="M147" i="283"/>
  <c r="O147" i="283" s="1"/>
  <c r="H160" i="283"/>
  <c r="M162" i="283"/>
  <c r="M168" i="283"/>
  <c r="O168" i="283" s="1"/>
  <c r="M189" i="283"/>
  <c r="L198" i="283"/>
  <c r="M194" i="283"/>
  <c r="O194" i="283" s="1"/>
  <c r="M216" i="283"/>
  <c r="O216" i="283" s="1"/>
  <c r="O219" i="283" s="1"/>
  <c r="M232" i="283"/>
  <c r="O224" i="283"/>
  <c r="O232" i="283" s="1"/>
  <c r="M230" i="283"/>
  <c r="L15" i="283"/>
  <c r="L31" i="283" s="1"/>
  <c r="M28" i="283"/>
  <c r="O153" i="283"/>
  <c r="M231" i="283"/>
  <c r="O235" i="283"/>
  <c r="O242" i="283" s="1"/>
  <c r="M244" i="283"/>
  <c r="O237" i="283"/>
  <c r="O244" i="283" s="1"/>
  <c r="M42" i="283"/>
  <c r="M90" i="283"/>
  <c r="M8" i="283"/>
  <c r="M9" i="283"/>
  <c r="M12" i="283"/>
  <c r="M14" i="283"/>
  <c r="D455" i="283"/>
  <c r="C456" i="283"/>
  <c r="G456" i="283"/>
  <c r="K456" i="283"/>
  <c r="O20" i="283"/>
  <c r="O24" i="283"/>
  <c r="O34" i="283"/>
  <c r="O39" i="283"/>
  <c r="M71" i="283"/>
  <c r="O83" i="283"/>
  <c r="O91" i="283" s="1"/>
  <c r="O84" i="283"/>
  <c r="O92" i="283" s="1"/>
  <c r="C245" i="283"/>
  <c r="G245" i="283"/>
  <c r="G246" i="283" s="1"/>
  <c r="G402" i="283" s="1"/>
  <c r="G422" i="283" s="1"/>
  <c r="K245" i="283"/>
  <c r="H125" i="283"/>
  <c r="M129" i="283"/>
  <c r="M131" i="283"/>
  <c r="M144" i="283"/>
  <c r="O144" i="283" s="1"/>
  <c r="M152" i="283"/>
  <c r="H162" i="283"/>
  <c r="M171" i="283"/>
  <c r="O171" i="283" s="1"/>
  <c r="H185" i="283"/>
  <c r="M178" i="283"/>
  <c r="M191" i="283"/>
  <c r="M208" i="283"/>
  <c r="M119" i="283"/>
  <c r="O140" i="283"/>
  <c r="O148" i="283" s="1"/>
  <c r="L173" i="283"/>
  <c r="O166" i="283"/>
  <c r="M177" i="283"/>
  <c r="M203" i="283"/>
  <c r="L220" i="283"/>
  <c r="O214" i="283"/>
  <c r="O221" i="283" s="1"/>
  <c r="M225" i="283"/>
  <c r="M141" i="283"/>
  <c r="M190" i="283"/>
  <c r="M236" i="283"/>
  <c r="M254" i="283"/>
  <c r="O254" i="283" s="1"/>
  <c r="L430" i="283"/>
  <c r="F288" i="283"/>
  <c r="J288" i="283"/>
  <c r="M275" i="283"/>
  <c r="L286" i="283"/>
  <c r="M280" i="283"/>
  <c r="O280" i="283" s="1"/>
  <c r="M290" i="283"/>
  <c r="L301" i="283"/>
  <c r="M295" i="283"/>
  <c r="O384" i="283"/>
  <c r="O399" i="283" s="1"/>
  <c r="L259" i="283"/>
  <c r="L428" i="283"/>
  <c r="M304" i="283"/>
  <c r="H313" i="283"/>
  <c r="H437" i="283"/>
  <c r="M307" i="283"/>
  <c r="H439" i="283"/>
  <c r="M309" i="283"/>
  <c r="H445" i="283"/>
  <c r="M311" i="283"/>
  <c r="O341" i="283"/>
  <c r="O370" i="283"/>
  <c r="M165" i="283"/>
  <c r="M213" i="283"/>
  <c r="M252" i="283"/>
  <c r="O252" i="283" s="1"/>
  <c r="M257" i="283"/>
  <c r="O257" i="283" s="1"/>
  <c r="O260" i="283" s="1"/>
  <c r="D288" i="283"/>
  <c r="H271" i="283"/>
  <c r="H288" i="283" s="1"/>
  <c r="M277" i="283"/>
  <c r="M292" i="283"/>
  <c r="M297" i="283"/>
  <c r="O297" i="283" s="1"/>
  <c r="L401" i="283"/>
  <c r="M272" i="283"/>
  <c r="O263" i="283"/>
  <c r="H314" i="283"/>
  <c r="M305" i="283"/>
  <c r="H447" i="283"/>
  <c r="M312" i="283"/>
  <c r="O326" i="283"/>
  <c r="O328" i="283"/>
  <c r="O339" i="283" s="1"/>
  <c r="M276" i="283"/>
  <c r="M282" i="283"/>
  <c r="M291" i="283"/>
  <c r="F401" i="283"/>
  <c r="J401" i="283"/>
  <c r="N401" i="283"/>
  <c r="L446" i="283"/>
  <c r="H339" i="283"/>
  <c r="M383" i="283"/>
  <c r="H400" i="283"/>
  <c r="M397" i="283"/>
  <c r="O410" i="283"/>
  <c r="O435" i="283" s="1"/>
  <c r="M435" i="283"/>
  <c r="M446" i="283"/>
  <c r="M323" i="283"/>
  <c r="M367" i="283"/>
  <c r="M249" i="283"/>
  <c r="M255" i="283"/>
  <c r="H428" i="283"/>
  <c r="L445" i="283"/>
  <c r="L447" i="283"/>
  <c r="D401" i="283"/>
  <c r="O317" i="283"/>
  <c r="O322" i="283"/>
  <c r="O446" i="283" s="1"/>
  <c r="H337" i="283"/>
  <c r="M342" i="283"/>
  <c r="M348" i="283"/>
  <c r="M349" i="283"/>
  <c r="M350" i="283"/>
  <c r="O361" i="283"/>
  <c r="O366" i="283"/>
  <c r="O448" i="283" s="1"/>
  <c r="H380" i="283"/>
  <c r="M385" i="283"/>
  <c r="H399" i="283"/>
  <c r="O417" i="283"/>
  <c r="O453" i="283" s="1"/>
  <c r="M453" i="283"/>
  <c r="M327" i="283"/>
  <c r="M331" i="283"/>
  <c r="M337" i="283" s="1"/>
  <c r="M371" i="283"/>
  <c r="M376" i="283"/>
  <c r="M377" i="283"/>
  <c r="H418" i="283"/>
  <c r="H435" i="283"/>
  <c r="H453" i="283"/>
  <c r="M405" i="283"/>
  <c r="M406" i="283"/>
  <c r="M407" i="283"/>
  <c r="M413" i="283"/>
  <c r="M414" i="283"/>
  <c r="M416" i="283"/>
  <c r="O272" i="283" l="1"/>
  <c r="O80" i="283"/>
  <c r="O271" i="283"/>
  <c r="L245" i="283"/>
  <c r="L246" i="283" s="1"/>
  <c r="L402" i="283" s="1"/>
  <c r="L422" i="283" s="1"/>
  <c r="C246" i="283"/>
  <c r="C402" i="283" s="1"/>
  <c r="C422" i="283" s="1"/>
  <c r="L456" i="283"/>
  <c r="O150" i="283"/>
  <c r="H456" i="283"/>
  <c r="K246" i="283"/>
  <c r="K402" i="283" s="1"/>
  <c r="K422" i="283" s="1"/>
  <c r="O44" i="283"/>
  <c r="O324" i="283"/>
  <c r="M260" i="283"/>
  <c r="M399" i="283"/>
  <c r="O429" i="283"/>
  <c r="M242" i="283"/>
  <c r="M116" i="283"/>
  <c r="M78" i="283"/>
  <c r="L105" i="283"/>
  <c r="M29" i="283"/>
  <c r="O358" i="283"/>
  <c r="M358" i="283"/>
  <c r="M271" i="283"/>
  <c r="H245" i="283"/>
  <c r="O43" i="283"/>
  <c r="O161" i="283"/>
  <c r="I402" i="283"/>
  <c r="I422" i="283" s="1"/>
  <c r="L454" i="283"/>
  <c r="M44" i="283"/>
  <c r="O42" i="283"/>
  <c r="L455" i="283"/>
  <c r="O27" i="283"/>
  <c r="O441" i="283" s="1"/>
  <c r="M161" i="283"/>
  <c r="O202" i="283"/>
  <c r="O209" i="283" s="1"/>
  <c r="E246" i="283"/>
  <c r="E402" i="283" s="1"/>
  <c r="E422" i="283" s="1"/>
  <c r="M30" i="283"/>
  <c r="O264" i="283"/>
  <c r="O273" i="283" s="1"/>
  <c r="M273" i="283"/>
  <c r="D402" i="283"/>
  <c r="D422" i="283" s="1"/>
  <c r="F402" i="283"/>
  <c r="F422" i="283" s="1"/>
  <c r="M185" i="283"/>
  <c r="M150" i="283"/>
  <c r="M429" i="283"/>
  <c r="O172" i="283"/>
  <c r="H455" i="283"/>
  <c r="F246" i="283"/>
  <c r="H246" i="283"/>
  <c r="M381" i="283"/>
  <c r="O371" i="283"/>
  <c r="M419" i="283"/>
  <c r="O405" i="283"/>
  <c r="O419" i="283" s="1"/>
  <c r="M444" i="283"/>
  <c r="O377" i="283"/>
  <c r="O444" i="283" s="1"/>
  <c r="M338" i="283"/>
  <c r="O327" i="283"/>
  <c r="M432" i="283"/>
  <c r="O348" i="283"/>
  <c r="O432" i="283" s="1"/>
  <c r="O397" i="283"/>
  <c r="O443" i="283" s="1"/>
  <c r="M443" i="283"/>
  <c r="M301" i="283"/>
  <c r="O291" i="283"/>
  <c r="M287" i="283"/>
  <c r="O277" i="283"/>
  <c r="O287" i="283" s="1"/>
  <c r="H401" i="283"/>
  <c r="M258" i="283"/>
  <c r="M288" i="283" s="1"/>
  <c r="M285" i="283"/>
  <c r="O275" i="283"/>
  <c r="O178" i="283"/>
  <c r="O187" i="283" s="1"/>
  <c r="M187" i="283"/>
  <c r="O152" i="283"/>
  <c r="O160" i="283" s="1"/>
  <c r="M160" i="283"/>
  <c r="M438" i="283"/>
  <c r="O14" i="283"/>
  <c r="O438" i="283" s="1"/>
  <c r="M449" i="283"/>
  <c r="O413" i="283"/>
  <c r="O449" i="283" s="1"/>
  <c r="M442" i="283"/>
  <c r="O376" i="283"/>
  <c r="O442" i="283" s="1"/>
  <c r="O368" i="283"/>
  <c r="M357" i="283"/>
  <c r="O342" i="283"/>
  <c r="M430" i="283"/>
  <c r="O255" i="283"/>
  <c r="O430" i="283" s="1"/>
  <c r="M431" i="283"/>
  <c r="O282" i="283"/>
  <c r="O431" i="283" s="1"/>
  <c r="M380" i="283"/>
  <c r="M313" i="283"/>
  <c r="O304" i="283"/>
  <c r="M300" i="283"/>
  <c r="O290" i="283"/>
  <c r="M243" i="283"/>
  <c r="O236" i="283"/>
  <c r="O243" i="283" s="1"/>
  <c r="M219" i="283"/>
  <c r="O174" i="283"/>
  <c r="M425" i="283"/>
  <c r="O12" i="283"/>
  <c r="O425" i="283" s="1"/>
  <c r="M426" i="283"/>
  <c r="O107" i="283"/>
  <c r="O114" i="283" s="1"/>
  <c r="M114" i="283"/>
  <c r="O46" i="283"/>
  <c r="O54" i="283" s="1"/>
  <c r="M54" i="283"/>
  <c r="O58" i="283"/>
  <c r="O66" i="283" s="1"/>
  <c r="M66" i="283"/>
  <c r="M434" i="283"/>
  <c r="O350" i="283"/>
  <c r="O434" i="283" s="1"/>
  <c r="O383" i="283"/>
  <c r="O398" i="283" s="1"/>
  <c r="M398" i="283"/>
  <c r="M286" i="283"/>
  <c r="O276" i="283"/>
  <c r="M314" i="283"/>
  <c r="O305" i="283"/>
  <c r="M220" i="283"/>
  <c r="O213" i="283"/>
  <c r="O220" i="283" s="1"/>
  <c r="M445" i="283"/>
  <c r="O311" i="283"/>
  <c r="O445" i="283" s="1"/>
  <c r="M437" i="283"/>
  <c r="O307" i="283"/>
  <c r="O437" i="283" s="1"/>
  <c r="O225" i="283"/>
  <c r="M233" i="283"/>
  <c r="M79" i="283"/>
  <c r="O71" i="283"/>
  <c r="O79" i="283" s="1"/>
  <c r="O426" i="283"/>
  <c r="M174" i="283"/>
  <c r="M103" i="283"/>
  <c r="O95" i="283"/>
  <c r="O103" i="283" s="1"/>
  <c r="H454" i="283"/>
  <c r="M400" i="283"/>
  <c r="O385" i="283"/>
  <c r="O400" i="283" s="1"/>
  <c r="O249" i="283"/>
  <c r="O259" i="283" s="1"/>
  <c r="M259" i="283"/>
  <c r="M198" i="283"/>
  <c r="O190" i="283"/>
  <c r="O198" i="283" s="1"/>
  <c r="O203" i="283"/>
  <c r="O210" i="283" s="1"/>
  <c r="M210" i="283"/>
  <c r="M126" i="283"/>
  <c r="O119" i="283"/>
  <c r="O126" i="283" s="1"/>
  <c r="O131" i="283"/>
  <c r="O138" i="283" s="1"/>
  <c r="M138" i="283"/>
  <c r="M16" i="283"/>
  <c r="O9" i="283"/>
  <c r="O16" i="283" s="1"/>
  <c r="O416" i="283"/>
  <c r="O452" i="283" s="1"/>
  <c r="M452" i="283"/>
  <c r="M420" i="283"/>
  <c r="O406" i="283"/>
  <c r="M427" i="283"/>
  <c r="O331" i="283"/>
  <c r="O427" i="283" s="1"/>
  <c r="M418" i="283"/>
  <c r="O349" i="283"/>
  <c r="O323" i="283"/>
  <c r="M302" i="283"/>
  <c r="O292" i="283"/>
  <c r="O302" i="283" s="1"/>
  <c r="M173" i="283"/>
  <c r="O165" i="283"/>
  <c r="O173" i="283" s="1"/>
  <c r="M428" i="283"/>
  <c r="O295" i="283"/>
  <c r="O428" i="283" s="1"/>
  <c r="M149" i="283"/>
  <c r="O141" i="283"/>
  <c r="O149" i="283" s="1"/>
  <c r="M172" i="283"/>
  <c r="M199" i="283"/>
  <c r="O191" i="283"/>
  <c r="O199" i="283" s="1"/>
  <c r="O129" i="283"/>
  <c r="O136" i="283" s="1"/>
  <c r="M136" i="283"/>
  <c r="O29" i="283"/>
  <c r="M423" i="283"/>
  <c r="O8" i="283"/>
  <c r="M15" i="283"/>
  <c r="M31" i="283" s="1"/>
  <c r="M148" i="283"/>
  <c r="M440" i="283"/>
  <c r="O230" i="283"/>
  <c r="M197" i="283"/>
  <c r="O189" i="283"/>
  <c r="O197" i="283" s="1"/>
  <c r="O94" i="283"/>
  <c r="O102" i="283" s="1"/>
  <c r="M102" i="283"/>
  <c r="O30" i="283"/>
  <c r="O407" i="283"/>
  <c r="M421" i="283"/>
  <c r="M457" i="283" s="1"/>
  <c r="M450" i="283"/>
  <c r="O414" i="283"/>
  <c r="O450" i="283" s="1"/>
  <c r="M447" i="283"/>
  <c r="O312" i="283"/>
  <c r="O447" i="283" s="1"/>
  <c r="O367" i="283"/>
  <c r="M356" i="283"/>
  <c r="M439" i="283"/>
  <c r="O309" i="283"/>
  <c r="O439" i="283" s="1"/>
  <c r="M186" i="283"/>
  <c r="O177" i="283"/>
  <c r="O186" i="283" s="1"/>
  <c r="M115" i="283"/>
  <c r="O108" i="283"/>
  <c r="O115" i="283" s="1"/>
  <c r="O47" i="283"/>
  <c r="O55" i="283" s="1"/>
  <c r="M55" i="283"/>
  <c r="M68" i="283"/>
  <c r="O60" i="283"/>
  <c r="O68" i="283" s="1"/>
  <c r="J402" i="283"/>
  <c r="J422" i="283" s="1"/>
  <c r="M17" i="283"/>
  <c r="N402" i="283"/>
  <c r="N422" i="283" s="1"/>
  <c r="O421" i="283" l="1"/>
  <c r="O457" i="283" s="1"/>
  <c r="O28" i="283"/>
  <c r="H402" i="283"/>
  <c r="H422" i="283" s="1"/>
  <c r="O233" i="283"/>
  <c r="O105" i="283"/>
  <c r="M456" i="283"/>
  <c r="O418" i="283"/>
  <c r="M454" i="283"/>
  <c r="O286" i="283"/>
  <c r="M105" i="283"/>
  <c r="O337" i="283"/>
  <c r="O420" i="283"/>
  <c r="M401" i="283"/>
  <c r="O357" i="283"/>
  <c r="O301" i="283"/>
  <c r="O381" i="283"/>
  <c r="M455" i="283"/>
  <c r="O300" i="283"/>
  <c r="O356" i="283"/>
  <c r="O285" i="283"/>
  <c r="O380" i="283"/>
  <c r="O440" i="283"/>
  <c r="O231" i="283"/>
  <c r="O245" i="283" s="1"/>
  <c r="O423" i="283"/>
  <c r="O454" i="283" s="1"/>
  <c r="O15" i="283"/>
  <c r="O314" i="283"/>
  <c r="O17" i="283"/>
  <c r="O338" i="283"/>
  <c r="O258" i="283"/>
  <c r="M245" i="283"/>
  <c r="M246" i="283" s="1"/>
  <c r="O313" i="283"/>
  <c r="M402" i="283" l="1"/>
  <c r="M422" i="283" s="1"/>
  <c r="O288" i="283"/>
  <c r="O31" i="283"/>
  <c r="O246" i="283" s="1"/>
  <c r="O456" i="283"/>
  <c r="O455" i="283"/>
  <c r="O401" i="283"/>
  <c r="O402" i="283" l="1"/>
  <c r="O422" i="283" s="1"/>
  <c r="N440" i="282"/>
  <c r="M440" i="282"/>
  <c r="I440" i="282"/>
  <c r="H440" i="282"/>
  <c r="G440" i="282"/>
  <c r="F440" i="282"/>
  <c r="E440" i="282"/>
  <c r="D440" i="282"/>
  <c r="C440" i="282"/>
  <c r="N438" i="282"/>
  <c r="M438" i="282"/>
  <c r="I438" i="282"/>
  <c r="H438" i="282"/>
  <c r="G438" i="282"/>
  <c r="F438" i="282"/>
  <c r="E438" i="282"/>
  <c r="D438" i="282"/>
  <c r="C438" i="282"/>
  <c r="N437" i="282"/>
  <c r="M437" i="282"/>
  <c r="I437" i="282"/>
  <c r="H437" i="282"/>
  <c r="G437" i="282"/>
  <c r="F437" i="282"/>
  <c r="E437" i="282"/>
  <c r="D437" i="282"/>
  <c r="C437" i="282"/>
  <c r="N436" i="282"/>
  <c r="M436" i="282"/>
  <c r="I436" i="282"/>
  <c r="H436" i="282"/>
  <c r="G436" i="282"/>
  <c r="F436" i="282"/>
  <c r="E436" i="282"/>
  <c r="D436" i="282"/>
  <c r="C436" i="282"/>
  <c r="N435" i="282"/>
  <c r="M435" i="282"/>
  <c r="I435" i="282"/>
  <c r="H435" i="282"/>
  <c r="G435" i="282"/>
  <c r="F435" i="282"/>
  <c r="E435" i="282"/>
  <c r="D435" i="282"/>
  <c r="C435" i="282"/>
  <c r="N434" i="282"/>
  <c r="M434" i="282"/>
  <c r="I434" i="282"/>
  <c r="H434" i="282"/>
  <c r="G434" i="282"/>
  <c r="F434" i="282"/>
  <c r="E434" i="282"/>
  <c r="D434" i="282"/>
  <c r="C434" i="282"/>
  <c r="N433" i="282"/>
  <c r="M433" i="282"/>
  <c r="I433" i="282"/>
  <c r="H433" i="282"/>
  <c r="G433" i="282"/>
  <c r="F433" i="282"/>
  <c r="E433" i="282"/>
  <c r="D433" i="282"/>
  <c r="C433" i="282"/>
  <c r="N432" i="282"/>
  <c r="M432" i="282"/>
  <c r="I432" i="282"/>
  <c r="H432" i="282"/>
  <c r="G432" i="282"/>
  <c r="F432" i="282"/>
  <c r="E432" i="282"/>
  <c r="D432" i="282"/>
  <c r="C432" i="282"/>
  <c r="N431" i="282"/>
  <c r="M431" i="282"/>
  <c r="I431" i="282"/>
  <c r="H431" i="282"/>
  <c r="G431" i="282"/>
  <c r="F431" i="282"/>
  <c r="E431" i="282"/>
  <c r="D431" i="282"/>
  <c r="C431" i="282"/>
  <c r="N430" i="282"/>
  <c r="M430" i="282"/>
  <c r="I430" i="282"/>
  <c r="H430" i="282"/>
  <c r="G430" i="282"/>
  <c r="F430" i="282"/>
  <c r="E430" i="282"/>
  <c r="D430" i="282"/>
  <c r="C430" i="282"/>
  <c r="N429" i="282"/>
  <c r="M429" i="282"/>
  <c r="I429" i="282"/>
  <c r="H429" i="282"/>
  <c r="G429" i="282"/>
  <c r="F429" i="282"/>
  <c r="E429" i="282"/>
  <c r="D429" i="282"/>
  <c r="C429" i="282"/>
  <c r="N428" i="282"/>
  <c r="M428" i="282"/>
  <c r="I428" i="282"/>
  <c r="H428" i="282"/>
  <c r="G428" i="282"/>
  <c r="F428" i="282"/>
  <c r="E428" i="282"/>
  <c r="D428" i="282"/>
  <c r="C428" i="282"/>
  <c r="N427" i="282"/>
  <c r="M427" i="282"/>
  <c r="I427" i="282"/>
  <c r="H427" i="282"/>
  <c r="G427" i="282"/>
  <c r="F427" i="282"/>
  <c r="E427" i="282"/>
  <c r="D427" i="282"/>
  <c r="C427" i="282"/>
  <c r="N426" i="282"/>
  <c r="M426" i="282"/>
  <c r="I426" i="282"/>
  <c r="H426" i="282"/>
  <c r="G426" i="282"/>
  <c r="F426" i="282"/>
  <c r="E426" i="282"/>
  <c r="D426" i="282"/>
  <c r="C426" i="282"/>
  <c r="N425" i="282"/>
  <c r="M425" i="282"/>
  <c r="I425" i="282"/>
  <c r="H425" i="282"/>
  <c r="G425" i="282"/>
  <c r="F425" i="282"/>
  <c r="E425" i="282"/>
  <c r="D425" i="282"/>
  <c r="C425" i="282"/>
  <c r="N423" i="282"/>
  <c r="M423" i="282"/>
  <c r="I423" i="282"/>
  <c r="H423" i="282"/>
  <c r="G423" i="282"/>
  <c r="F423" i="282"/>
  <c r="E423" i="282"/>
  <c r="D423" i="282"/>
  <c r="C423" i="282"/>
  <c r="N422" i="282"/>
  <c r="M422" i="282"/>
  <c r="I422" i="282"/>
  <c r="H422" i="282"/>
  <c r="G422" i="282"/>
  <c r="F422" i="282"/>
  <c r="E422" i="282"/>
  <c r="D422" i="282"/>
  <c r="C422" i="282"/>
  <c r="N421" i="282"/>
  <c r="M421" i="282"/>
  <c r="I421" i="282"/>
  <c r="H421" i="282"/>
  <c r="G421" i="282"/>
  <c r="F421" i="282"/>
  <c r="E421" i="282"/>
  <c r="D421" i="282"/>
  <c r="C421" i="282"/>
  <c r="N420" i="282"/>
  <c r="M420" i="282"/>
  <c r="I420" i="282"/>
  <c r="H420" i="282"/>
  <c r="G420" i="282"/>
  <c r="F420" i="282"/>
  <c r="E420" i="282"/>
  <c r="D420" i="282"/>
  <c r="C420" i="282"/>
  <c r="N419" i="282"/>
  <c r="M419" i="282"/>
  <c r="I419" i="282"/>
  <c r="H419" i="282"/>
  <c r="G419" i="282"/>
  <c r="F419" i="282"/>
  <c r="E419" i="282"/>
  <c r="D419" i="282"/>
  <c r="C419" i="282"/>
  <c r="N418" i="282"/>
  <c r="M418" i="282"/>
  <c r="I418" i="282"/>
  <c r="H418" i="282"/>
  <c r="G418" i="282"/>
  <c r="F418" i="282"/>
  <c r="E418" i="282"/>
  <c r="D418" i="282"/>
  <c r="C418" i="282"/>
  <c r="N417" i="282"/>
  <c r="M417" i="282"/>
  <c r="I417" i="282"/>
  <c r="H417" i="282"/>
  <c r="G417" i="282"/>
  <c r="F417" i="282"/>
  <c r="E417" i="282"/>
  <c r="D417" i="282"/>
  <c r="C417" i="282"/>
  <c r="N416" i="282"/>
  <c r="M416" i="282"/>
  <c r="I416" i="282"/>
  <c r="H416" i="282"/>
  <c r="G416" i="282"/>
  <c r="F416" i="282"/>
  <c r="E416" i="282"/>
  <c r="D416" i="282"/>
  <c r="C416" i="282"/>
  <c r="N415" i="282"/>
  <c r="M415" i="282"/>
  <c r="I415" i="282"/>
  <c r="H415" i="282"/>
  <c r="G415" i="282"/>
  <c r="F415" i="282"/>
  <c r="E415" i="282"/>
  <c r="D415" i="282"/>
  <c r="C415" i="282"/>
  <c r="N414" i="282"/>
  <c r="M414" i="282"/>
  <c r="I414" i="282"/>
  <c r="H414" i="282"/>
  <c r="G414" i="282"/>
  <c r="F414" i="282"/>
  <c r="E414" i="282"/>
  <c r="D414" i="282"/>
  <c r="C414" i="282"/>
  <c r="N413" i="282"/>
  <c r="M413" i="282"/>
  <c r="I413" i="282"/>
  <c r="H413" i="282"/>
  <c r="G413" i="282"/>
  <c r="F413" i="282"/>
  <c r="E413" i="282"/>
  <c r="D413" i="282"/>
  <c r="C413" i="282"/>
  <c r="N411" i="282"/>
  <c r="M411" i="282"/>
  <c r="M441" i="282" s="1"/>
  <c r="I411" i="282"/>
  <c r="H411" i="282"/>
  <c r="H441" i="282" s="1"/>
  <c r="G411" i="282"/>
  <c r="G441" i="282" s="1"/>
  <c r="F411" i="282"/>
  <c r="F441" i="282" s="1"/>
  <c r="E411" i="282"/>
  <c r="D411" i="282"/>
  <c r="D441" i="282" s="1"/>
  <c r="C411" i="282"/>
  <c r="N409" i="282"/>
  <c r="N444" i="282" s="1"/>
  <c r="M409" i="282"/>
  <c r="M444" i="282" s="1"/>
  <c r="I409" i="282"/>
  <c r="I444" i="282" s="1"/>
  <c r="H409" i="282"/>
  <c r="H444" i="282" s="1"/>
  <c r="G409" i="282"/>
  <c r="G444" i="282" s="1"/>
  <c r="F409" i="282"/>
  <c r="F444" i="282" s="1"/>
  <c r="E409" i="282"/>
  <c r="E444" i="282" s="1"/>
  <c r="D409" i="282"/>
  <c r="D444" i="282" s="1"/>
  <c r="C409" i="282"/>
  <c r="C444" i="282" s="1"/>
  <c r="N408" i="282"/>
  <c r="M408" i="282"/>
  <c r="I408" i="282"/>
  <c r="H408" i="282"/>
  <c r="G408" i="282"/>
  <c r="F408" i="282"/>
  <c r="E408" i="282"/>
  <c r="D408" i="282"/>
  <c r="C408" i="282"/>
  <c r="N407" i="282"/>
  <c r="M407" i="282"/>
  <c r="I407" i="282"/>
  <c r="H407" i="282"/>
  <c r="G407" i="282"/>
  <c r="F407" i="282"/>
  <c r="E407" i="282"/>
  <c r="D407" i="282"/>
  <c r="C407" i="282"/>
  <c r="N406" i="282"/>
  <c r="M406" i="282"/>
  <c r="I406" i="282"/>
  <c r="H406" i="282"/>
  <c r="G406" i="282"/>
  <c r="F406" i="282"/>
  <c r="E406" i="282"/>
  <c r="D406" i="282"/>
  <c r="C406" i="282"/>
  <c r="K405" i="282"/>
  <c r="K440" i="282" s="1"/>
  <c r="J405" i="282"/>
  <c r="K404" i="282"/>
  <c r="J404" i="282"/>
  <c r="K403" i="282"/>
  <c r="K438" i="282" s="1"/>
  <c r="J403" i="282"/>
  <c r="K402" i="282"/>
  <c r="K437" i="282" s="1"/>
  <c r="J402" i="282"/>
  <c r="L402" i="282" s="1"/>
  <c r="K401" i="282"/>
  <c r="J401" i="282"/>
  <c r="K400" i="282"/>
  <c r="K423" i="282" s="1"/>
  <c r="J400" i="282"/>
  <c r="K399" i="282"/>
  <c r="J399" i="282"/>
  <c r="L399" i="282" s="1"/>
  <c r="O399" i="282" s="1"/>
  <c r="K397" i="282"/>
  <c r="K409" i="282" s="1"/>
  <c r="K444" i="282" s="1"/>
  <c r="J397" i="282"/>
  <c r="K396" i="282"/>
  <c r="K408" i="282" s="1"/>
  <c r="J396" i="282"/>
  <c r="K395" i="282"/>
  <c r="K407" i="282" s="1"/>
  <c r="J395" i="282"/>
  <c r="L395" i="282" s="1"/>
  <c r="K394" i="282"/>
  <c r="K406" i="282" s="1"/>
  <c r="J394" i="282"/>
  <c r="N390" i="282"/>
  <c r="M390" i="282"/>
  <c r="I390" i="282"/>
  <c r="H390" i="282"/>
  <c r="G390" i="282"/>
  <c r="F390" i="282"/>
  <c r="E390" i="282"/>
  <c r="D390" i="282"/>
  <c r="C390" i="282"/>
  <c r="N389" i="282"/>
  <c r="M389" i="282"/>
  <c r="I389" i="282"/>
  <c r="H389" i="282"/>
  <c r="G389" i="282"/>
  <c r="F389" i="282"/>
  <c r="E389" i="282"/>
  <c r="D389" i="282"/>
  <c r="C389" i="282"/>
  <c r="N388" i="282"/>
  <c r="M388" i="282"/>
  <c r="I388" i="282"/>
  <c r="H388" i="282"/>
  <c r="G388" i="282"/>
  <c r="F388" i="282"/>
  <c r="E388" i="282"/>
  <c r="D388" i="282"/>
  <c r="C388" i="282"/>
  <c r="K387" i="282"/>
  <c r="K431" i="282" s="1"/>
  <c r="J387" i="282"/>
  <c r="J431" i="282" s="1"/>
  <c r="K386" i="282"/>
  <c r="J386" i="282"/>
  <c r="K385" i="282"/>
  <c r="J385" i="282"/>
  <c r="K384" i="282"/>
  <c r="J384" i="282"/>
  <c r="K383" i="282"/>
  <c r="J383" i="282"/>
  <c r="K382" i="282"/>
  <c r="J382" i="282"/>
  <c r="K381" i="282"/>
  <c r="J381" i="282"/>
  <c r="K380" i="282"/>
  <c r="J380" i="282"/>
  <c r="K378" i="282"/>
  <c r="J378" i="282"/>
  <c r="K376" i="282"/>
  <c r="K390" i="282" s="1"/>
  <c r="J376" i="282"/>
  <c r="J390" i="282" s="1"/>
  <c r="K375" i="282"/>
  <c r="K389" i="282" s="1"/>
  <c r="J375" i="282"/>
  <c r="J389" i="282" s="1"/>
  <c r="K374" i="282"/>
  <c r="K388" i="282" s="1"/>
  <c r="J374" i="282"/>
  <c r="J388" i="282" s="1"/>
  <c r="N372" i="282"/>
  <c r="M372" i="282"/>
  <c r="I372" i="282"/>
  <c r="H372" i="282"/>
  <c r="G372" i="282"/>
  <c r="F372" i="282"/>
  <c r="E372" i="282"/>
  <c r="D372" i="282"/>
  <c r="C372" i="282"/>
  <c r="N371" i="282"/>
  <c r="M371" i="282"/>
  <c r="I371" i="282"/>
  <c r="H371" i="282"/>
  <c r="G371" i="282"/>
  <c r="F371" i="282"/>
  <c r="E371" i="282"/>
  <c r="D371" i="282"/>
  <c r="C371" i="282"/>
  <c r="K370" i="282"/>
  <c r="J370" i="282"/>
  <c r="L370" i="282" s="1"/>
  <c r="O370" i="282" s="1"/>
  <c r="K369" i="282"/>
  <c r="K432" i="282" s="1"/>
  <c r="J369" i="282"/>
  <c r="J432" i="282" s="1"/>
  <c r="K368" i="282"/>
  <c r="K430" i="282" s="1"/>
  <c r="J368" i="282"/>
  <c r="J430" i="282" s="1"/>
  <c r="K367" i="282"/>
  <c r="J367" i="282"/>
  <c r="L367" i="282" s="1"/>
  <c r="O367" i="282" s="1"/>
  <c r="K366" i="282"/>
  <c r="J366" i="282"/>
  <c r="L366" i="282" s="1"/>
  <c r="O366" i="282" s="1"/>
  <c r="K365" i="282"/>
  <c r="J365" i="282"/>
  <c r="L365" i="282" s="1"/>
  <c r="O365" i="282" s="1"/>
  <c r="K363" i="282"/>
  <c r="K372" i="282" s="1"/>
  <c r="J363" i="282"/>
  <c r="K362" i="282"/>
  <c r="K371" i="282" s="1"/>
  <c r="J362" i="282"/>
  <c r="L362" i="282" s="1"/>
  <c r="N360" i="282"/>
  <c r="M360" i="282"/>
  <c r="I360" i="282"/>
  <c r="H360" i="282"/>
  <c r="G360" i="282"/>
  <c r="F360" i="282"/>
  <c r="E360" i="282"/>
  <c r="D360" i="282"/>
  <c r="C360" i="282"/>
  <c r="N359" i="282"/>
  <c r="M359" i="282"/>
  <c r="I359" i="282"/>
  <c r="H359" i="282"/>
  <c r="G359" i="282"/>
  <c r="F359" i="282"/>
  <c r="E359" i="282"/>
  <c r="D359" i="282"/>
  <c r="C359" i="282"/>
  <c r="K358" i="282"/>
  <c r="K436" i="282" s="1"/>
  <c r="J358" i="282"/>
  <c r="J436" i="282" s="1"/>
  <c r="K357" i="282"/>
  <c r="J357" i="282"/>
  <c r="L357" i="282" s="1"/>
  <c r="O357" i="282" s="1"/>
  <c r="K356" i="282"/>
  <c r="K433" i="282" s="1"/>
  <c r="J356" i="282"/>
  <c r="J433" i="282" s="1"/>
  <c r="K355" i="282"/>
  <c r="J355" i="282"/>
  <c r="L355" i="282" s="1"/>
  <c r="O355" i="282" s="1"/>
  <c r="K353" i="282"/>
  <c r="K360" i="282" s="1"/>
  <c r="J353" i="282"/>
  <c r="J360" i="282" s="1"/>
  <c r="K352" i="282"/>
  <c r="J352" i="282"/>
  <c r="J359" i="282" s="1"/>
  <c r="N350" i="282"/>
  <c r="M350" i="282"/>
  <c r="I350" i="282"/>
  <c r="H350" i="282"/>
  <c r="G350" i="282"/>
  <c r="F350" i="282"/>
  <c r="E350" i="282"/>
  <c r="D350" i="282"/>
  <c r="C350" i="282"/>
  <c r="N349" i="282"/>
  <c r="M349" i="282"/>
  <c r="I349" i="282"/>
  <c r="H349" i="282"/>
  <c r="G349" i="282"/>
  <c r="F349" i="282"/>
  <c r="E349" i="282"/>
  <c r="D349" i="282"/>
  <c r="C349" i="282"/>
  <c r="N348" i="282"/>
  <c r="M348" i="282"/>
  <c r="I348" i="282"/>
  <c r="H348" i="282"/>
  <c r="G348" i="282"/>
  <c r="F348" i="282"/>
  <c r="E348" i="282"/>
  <c r="D348" i="282"/>
  <c r="C348" i="282"/>
  <c r="K347" i="282"/>
  <c r="J347" i="282"/>
  <c r="K346" i="282"/>
  <c r="J346" i="282"/>
  <c r="K345" i="282"/>
  <c r="J345" i="282"/>
  <c r="K343" i="282"/>
  <c r="K422" i="282" s="1"/>
  <c r="J343" i="282"/>
  <c r="K342" i="282"/>
  <c r="K421" i="282" s="1"/>
  <c r="J342" i="282"/>
  <c r="K341" i="282"/>
  <c r="K420" i="282" s="1"/>
  <c r="J341" i="282"/>
  <c r="K340" i="282"/>
  <c r="K418" i="282" s="1"/>
  <c r="J340" i="282"/>
  <c r="K339" i="282"/>
  <c r="K348" i="282" s="1"/>
  <c r="J339" i="282"/>
  <c r="K338" i="282"/>
  <c r="J338" i="282"/>
  <c r="L338" i="282" s="1"/>
  <c r="O338" i="282" s="1"/>
  <c r="K336" i="282"/>
  <c r="J336" i="282"/>
  <c r="K335" i="282"/>
  <c r="J335" i="282"/>
  <c r="L335" i="282" s="1"/>
  <c r="K334" i="282"/>
  <c r="J334" i="282"/>
  <c r="L334" i="282" s="1"/>
  <c r="N332" i="282"/>
  <c r="M332" i="282"/>
  <c r="I332" i="282"/>
  <c r="H332" i="282"/>
  <c r="G332" i="282"/>
  <c r="F332" i="282"/>
  <c r="E332" i="282"/>
  <c r="D332" i="282"/>
  <c r="C332" i="282"/>
  <c r="N331" i="282"/>
  <c r="M331" i="282"/>
  <c r="I331" i="282"/>
  <c r="H331" i="282"/>
  <c r="G331" i="282"/>
  <c r="F331" i="282"/>
  <c r="E331" i="282"/>
  <c r="D331" i="282"/>
  <c r="C331" i="282"/>
  <c r="N330" i="282"/>
  <c r="M330" i="282"/>
  <c r="I330" i="282"/>
  <c r="H330" i="282"/>
  <c r="G330" i="282"/>
  <c r="F330" i="282"/>
  <c r="E330" i="282"/>
  <c r="D330" i="282"/>
  <c r="C330" i="282"/>
  <c r="K329" i="282"/>
  <c r="J329" i="282"/>
  <c r="L328" i="282"/>
  <c r="O328" i="282" s="1"/>
  <c r="K328" i="282"/>
  <c r="J328" i="282"/>
  <c r="K326" i="282"/>
  <c r="J326" i="282"/>
  <c r="L326" i="282" s="1"/>
  <c r="O326" i="282" s="1"/>
  <c r="K325" i="282"/>
  <c r="J325" i="282"/>
  <c r="L325" i="282" s="1"/>
  <c r="O325" i="282" s="1"/>
  <c r="K324" i="282"/>
  <c r="K415" i="282" s="1"/>
  <c r="J324" i="282"/>
  <c r="J415" i="282" s="1"/>
  <c r="K323" i="282"/>
  <c r="J323" i="282"/>
  <c r="L323" i="282" s="1"/>
  <c r="O323" i="282" s="1"/>
  <c r="K321" i="282"/>
  <c r="K332" i="282" s="1"/>
  <c r="J321" i="282"/>
  <c r="K320" i="282"/>
  <c r="J320" i="282"/>
  <c r="K319" i="282"/>
  <c r="K330" i="282" s="1"/>
  <c r="J319" i="282"/>
  <c r="N317" i="282"/>
  <c r="M317" i="282"/>
  <c r="I317" i="282"/>
  <c r="H317" i="282"/>
  <c r="G317" i="282"/>
  <c r="F317" i="282"/>
  <c r="E317" i="282"/>
  <c r="D317" i="282"/>
  <c r="C317" i="282"/>
  <c r="N316" i="282"/>
  <c r="M316" i="282"/>
  <c r="I316" i="282"/>
  <c r="H316" i="282"/>
  <c r="G316" i="282"/>
  <c r="F316" i="282"/>
  <c r="E316" i="282"/>
  <c r="D316" i="282"/>
  <c r="C316" i="282"/>
  <c r="K315" i="282"/>
  <c r="K434" i="282" s="1"/>
  <c r="J315" i="282"/>
  <c r="K314" i="282"/>
  <c r="J314" i="282"/>
  <c r="K313" i="282"/>
  <c r="J313" i="282"/>
  <c r="K311" i="282"/>
  <c r="J311" i="282"/>
  <c r="K310" i="282"/>
  <c r="K316" i="282" s="1"/>
  <c r="J310" i="282"/>
  <c r="N308" i="282"/>
  <c r="M308" i="282"/>
  <c r="I308" i="282"/>
  <c r="H308" i="282"/>
  <c r="G308" i="282"/>
  <c r="F308" i="282"/>
  <c r="E308" i="282"/>
  <c r="D308" i="282"/>
  <c r="C308" i="282"/>
  <c r="N307" i="282"/>
  <c r="M307" i="282"/>
  <c r="M391" i="282" s="1"/>
  <c r="I307" i="282"/>
  <c r="I391" i="282" s="1"/>
  <c r="H307" i="282"/>
  <c r="G307" i="282"/>
  <c r="F307" i="282"/>
  <c r="E307" i="282"/>
  <c r="E391" i="282" s="1"/>
  <c r="D307" i="282"/>
  <c r="C307" i="282"/>
  <c r="K306" i="282"/>
  <c r="L306" i="282" s="1"/>
  <c r="J306" i="282"/>
  <c r="K305" i="282"/>
  <c r="J305" i="282"/>
  <c r="K304" i="282"/>
  <c r="K427" i="282" s="1"/>
  <c r="J304" i="282"/>
  <c r="J427" i="282" s="1"/>
  <c r="K303" i="282"/>
  <c r="J303" i="282"/>
  <c r="L303" i="282" s="1"/>
  <c r="O303" i="282" s="1"/>
  <c r="K302" i="282"/>
  <c r="J302" i="282"/>
  <c r="J425" i="282" s="1"/>
  <c r="K300" i="282"/>
  <c r="J300" i="282"/>
  <c r="J308" i="282" s="1"/>
  <c r="K299" i="282"/>
  <c r="J299" i="282"/>
  <c r="L299" i="282" s="1"/>
  <c r="N297" i="282"/>
  <c r="M297" i="282"/>
  <c r="I297" i="282"/>
  <c r="H297" i="282"/>
  <c r="G297" i="282"/>
  <c r="F297" i="282"/>
  <c r="E297" i="282"/>
  <c r="D297" i="282"/>
  <c r="C297" i="282"/>
  <c r="N296" i="282"/>
  <c r="M296" i="282"/>
  <c r="I296" i="282"/>
  <c r="H296" i="282"/>
  <c r="G296" i="282"/>
  <c r="F296" i="282"/>
  <c r="E296" i="282"/>
  <c r="D296" i="282"/>
  <c r="C296" i="282"/>
  <c r="N295" i="282"/>
  <c r="M295" i="282"/>
  <c r="I295" i="282"/>
  <c r="H295" i="282"/>
  <c r="G295" i="282"/>
  <c r="F295" i="282"/>
  <c r="E295" i="282"/>
  <c r="D295" i="282"/>
  <c r="C295" i="282"/>
  <c r="K294" i="282"/>
  <c r="J294" i="282"/>
  <c r="K292" i="282"/>
  <c r="J292" i="282"/>
  <c r="K291" i="282"/>
  <c r="J291" i="282"/>
  <c r="K290" i="282"/>
  <c r="L290" i="282" s="1"/>
  <c r="O290" i="282" s="1"/>
  <c r="J290" i="282"/>
  <c r="K288" i="282"/>
  <c r="L288" i="282" s="1"/>
  <c r="J288" i="282"/>
  <c r="L287" i="282"/>
  <c r="K287" i="282"/>
  <c r="J287" i="282"/>
  <c r="J296" i="282" s="1"/>
  <c r="K286" i="282"/>
  <c r="J286" i="282"/>
  <c r="L286" i="282" s="1"/>
  <c r="N283" i="282"/>
  <c r="M283" i="282"/>
  <c r="I283" i="282"/>
  <c r="H283" i="282"/>
  <c r="G283" i="282"/>
  <c r="F283" i="282"/>
  <c r="E283" i="282"/>
  <c r="D283" i="282"/>
  <c r="C283" i="282"/>
  <c r="N282" i="282"/>
  <c r="M282" i="282"/>
  <c r="I282" i="282"/>
  <c r="H282" i="282"/>
  <c r="G282" i="282"/>
  <c r="F282" i="282"/>
  <c r="E282" i="282"/>
  <c r="D282" i="282"/>
  <c r="C282" i="282"/>
  <c r="N281" i="282"/>
  <c r="M281" i="282"/>
  <c r="I281" i="282"/>
  <c r="H281" i="282"/>
  <c r="G281" i="282"/>
  <c r="F281" i="282"/>
  <c r="E281" i="282"/>
  <c r="D281" i="282"/>
  <c r="C281" i="282"/>
  <c r="K280" i="282"/>
  <c r="L280" i="282" s="1"/>
  <c r="O280" i="282" s="1"/>
  <c r="J280" i="282"/>
  <c r="K278" i="282"/>
  <c r="K419" i="282" s="1"/>
  <c r="J278" i="282"/>
  <c r="J419" i="282" s="1"/>
  <c r="K277" i="282"/>
  <c r="J277" i="282"/>
  <c r="K276" i="282"/>
  <c r="J276" i="282"/>
  <c r="K274" i="282"/>
  <c r="J274" i="282"/>
  <c r="J283" i="282" s="1"/>
  <c r="K273" i="282"/>
  <c r="J273" i="282"/>
  <c r="J282" i="282" s="1"/>
  <c r="K272" i="282"/>
  <c r="J272" i="282"/>
  <c r="N270" i="282"/>
  <c r="M270" i="282"/>
  <c r="I270" i="282"/>
  <c r="H270" i="282"/>
  <c r="G270" i="282"/>
  <c r="F270" i="282"/>
  <c r="E270" i="282"/>
  <c r="D270" i="282"/>
  <c r="C270" i="282"/>
  <c r="N269" i="282"/>
  <c r="M269" i="282"/>
  <c r="I269" i="282"/>
  <c r="H269" i="282"/>
  <c r="G269" i="282"/>
  <c r="F269" i="282"/>
  <c r="E269" i="282"/>
  <c r="D269" i="282"/>
  <c r="C269" i="282"/>
  <c r="N268" i="282"/>
  <c r="M268" i="282"/>
  <c r="I268" i="282"/>
  <c r="H268" i="282"/>
  <c r="G268" i="282"/>
  <c r="F268" i="282"/>
  <c r="E268" i="282"/>
  <c r="D268" i="282"/>
  <c r="C268" i="282"/>
  <c r="K267" i="282"/>
  <c r="J267" i="282"/>
  <c r="K265" i="282"/>
  <c r="J265" i="282"/>
  <c r="L265" i="282" s="1"/>
  <c r="O265" i="282" s="1"/>
  <c r="K264" i="282"/>
  <c r="J264" i="282"/>
  <c r="K263" i="282"/>
  <c r="J263" i="282"/>
  <c r="K261" i="282"/>
  <c r="J261" i="282"/>
  <c r="K260" i="282"/>
  <c r="J260" i="282"/>
  <c r="K259" i="282"/>
  <c r="J259" i="282"/>
  <c r="L259" i="282" s="1"/>
  <c r="O259" i="282" s="1"/>
  <c r="N257" i="282"/>
  <c r="M257" i="282"/>
  <c r="I257" i="282"/>
  <c r="H257" i="282"/>
  <c r="G257" i="282"/>
  <c r="F257" i="282"/>
  <c r="E257" i="282"/>
  <c r="D257" i="282"/>
  <c r="C257" i="282"/>
  <c r="N256" i="282"/>
  <c r="M256" i="282"/>
  <c r="I256" i="282"/>
  <c r="H256" i="282"/>
  <c r="G256" i="282"/>
  <c r="F256" i="282"/>
  <c r="E256" i="282"/>
  <c r="D256" i="282"/>
  <c r="C256" i="282"/>
  <c r="N255" i="282"/>
  <c r="M255" i="282"/>
  <c r="M284" i="282" s="1"/>
  <c r="I255" i="282"/>
  <c r="H255" i="282"/>
  <c r="H284" i="282" s="1"/>
  <c r="G255" i="282"/>
  <c r="F255" i="282"/>
  <c r="F284" i="282" s="1"/>
  <c r="E255" i="282"/>
  <c r="D255" i="282"/>
  <c r="D284" i="282" s="1"/>
  <c r="C255" i="282"/>
  <c r="K254" i="282"/>
  <c r="J254" i="282"/>
  <c r="L254" i="282" s="1"/>
  <c r="O254" i="282" s="1"/>
  <c r="K252" i="282"/>
  <c r="J252" i="282"/>
  <c r="K251" i="282"/>
  <c r="J251" i="282"/>
  <c r="L251" i="282" s="1"/>
  <c r="O251" i="282" s="1"/>
  <c r="K250" i="282"/>
  <c r="J250" i="282"/>
  <c r="L250" i="282" s="1"/>
  <c r="O250" i="282" s="1"/>
  <c r="K248" i="282"/>
  <c r="K257" i="282" s="1"/>
  <c r="J248" i="282"/>
  <c r="J257" i="282" s="1"/>
  <c r="K247" i="282"/>
  <c r="K256" i="282" s="1"/>
  <c r="J247" i="282"/>
  <c r="K246" i="282"/>
  <c r="K255" i="282" s="1"/>
  <c r="J246" i="282"/>
  <c r="J255" i="282" s="1"/>
  <c r="N242" i="282"/>
  <c r="M242" i="282"/>
  <c r="I242" i="282"/>
  <c r="H242" i="282"/>
  <c r="G242" i="282"/>
  <c r="F242" i="282"/>
  <c r="E242" i="282"/>
  <c r="D242" i="282"/>
  <c r="C242" i="282"/>
  <c r="N241" i="282"/>
  <c r="M241" i="282"/>
  <c r="I241" i="282"/>
  <c r="H241" i="282"/>
  <c r="G241" i="282"/>
  <c r="F241" i="282"/>
  <c r="E241" i="282"/>
  <c r="D241" i="282"/>
  <c r="C241" i="282"/>
  <c r="N240" i="282"/>
  <c r="M240" i="282"/>
  <c r="I240" i="282"/>
  <c r="H240" i="282"/>
  <c r="G240" i="282"/>
  <c r="F240" i="282"/>
  <c r="E240" i="282"/>
  <c r="D240" i="282"/>
  <c r="C240" i="282"/>
  <c r="K239" i="282"/>
  <c r="J239" i="282"/>
  <c r="K237" i="282"/>
  <c r="J237" i="282"/>
  <c r="K235" i="282"/>
  <c r="K242" i="282" s="1"/>
  <c r="J235" i="282"/>
  <c r="J242" i="282" s="1"/>
  <c r="K234" i="282"/>
  <c r="K241" i="282" s="1"/>
  <c r="J234" i="282"/>
  <c r="K233" i="282"/>
  <c r="K240" i="282" s="1"/>
  <c r="J233" i="282"/>
  <c r="N231" i="282"/>
  <c r="M231" i="282"/>
  <c r="I231" i="282"/>
  <c r="H231" i="282"/>
  <c r="G231" i="282"/>
  <c r="F231" i="282"/>
  <c r="E231" i="282"/>
  <c r="D231" i="282"/>
  <c r="C231" i="282"/>
  <c r="N230" i="282"/>
  <c r="M230" i="282"/>
  <c r="I230" i="282"/>
  <c r="H230" i="282"/>
  <c r="G230" i="282"/>
  <c r="F230" i="282"/>
  <c r="E230" i="282"/>
  <c r="D230" i="282"/>
  <c r="C230" i="282"/>
  <c r="N229" i="282"/>
  <c r="M229" i="282"/>
  <c r="I229" i="282"/>
  <c r="H229" i="282"/>
  <c r="G229" i="282"/>
  <c r="F229" i="282"/>
  <c r="E229" i="282"/>
  <c r="D229" i="282"/>
  <c r="C229" i="282"/>
  <c r="K228" i="282"/>
  <c r="K428" i="282" s="1"/>
  <c r="J228" i="282"/>
  <c r="K227" i="282"/>
  <c r="J227" i="282"/>
  <c r="K225" i="282"/>
  <c r="J225" i="282"/>
  <c r="L225" i="282" s="1"/>
  <c r="O225" i="282" s="1"/>
  <c r="K223" i="282"/>
  <c r="J223" i="282"/>
  <c r="K222" i="282"/>
  <c r="K230" i="282" s="1"/>
  <c r="J222" i="282"/>
  <c r="L222" i="282" s="1"/>
  <c r="L230" i="282" s="1"/>
  <c r="K221" i="282"/>
  <c r="J221" i="282"/>
  <c r="L221" i="282" s="1"/>
  <c r="N219" i="282"/>
  <c r="M219" i="282"/>
  <c r="I219" i="282"/>
  <c r="H219" i="282"/>
  <c r="G219" i="282"/>
  <c r="F219" i="282"/>
  <c r="E219" i="282"/>
  <c r="D219" i="282"/>
  <c r="C219" i="282"/>
  <c r="N218" i="282"/>
  <c r="M218" i="282"/>
  <c r="I218" i="282"/>
  <c r="H218" i="282"/>
  <c r="G218" i="282"/>
  <c r="F218" i="282"/>
  <c r="E218" i="282"/>
  <c r="D218" i="282"/>
  <c r="C218" i="282"/>
  <c r="N217" i="282"/>
  <c r="M217" i="282"/>
  <c r="I217" i="282"/>
  <c r="H217" i="282"/>
  <c r="G217" i="282"/>
  <c r="F217" i="282"/>
  <c r="E217" i="282"/>
  <c r="D217" i="282"/>
  <c r="C217" i="282"/>
  <c r="K216" i="282"/>
  <c r="J216" i="282"/>
  <c r="K214" i="282"/>
  <c r="J214" i="282"/>
  <c r="K212" i="282"/>
  <c r="K219" i="282" s="1"/>
  <c r="J212" i="282"/>
  <c r="J219" i="282" s="1"/>
  <c r="K211" i="282"/>
  <c r="K218" i="282" s="1"/>
  <c r="J211" i="282"/>
  <c r="K210" i="282"/>
  <c r="K217" i="282" s="1"/>
  <c r="J210" i="282"/>
  <c r="N208" i="282"/>
  <c r="M208" i="282"/>
  <c r="I208" i="282"/>
  <c r="H208" i="282"/>
  <c r="G208" i="282"/>
  <c r="F208" i="282"/>
  <c r="E208" i="282"/>
  <c r="D208" i="282"/>
  <c r="C208" i="282"/>
  <c r="N207" i="282"/>
  <c r="M207" i="282"/>
  <c r="I207" i="282"/>
  <c r="H207" i="282"/>
  <c r="G207" i="282"/>
  <c r="F207" i="282"/>
  <c r="E207" i="282"/>
  <c r="D207" i="282"/>
  <c r="C207" i="282"/>
  <c r="N206" i="282"/>
  <c r="M206" i="282"/>
  <c r="I206" i="282"/>
  <c r="H206" i="282"/>
  <c r="G206" i="282"/>
  <c r="F206" i="282"/>
  <c r="E206" i="282"/>
  <c r="D206" i="282"/>
  <c r="C206" i="282"/>
  <c r="K205" i="282"/>
  <c r="J205" i="282"/>
  <c r="K203" i="282"/>
  <c r="J203" i="282"/>
  <c r="K201" i="282"/>
  <c r="K208" i="282" s="1"/>
  <c r="J201" i="282"/>
  <c r="J208" i="282" s="1"/>
  <c r="K200" i="282"/>
  <c r="K207" i="282" s="1"/>
  <c r="J200" i="282"/>
  <c r="J207" i="282" s="1"/>
  <c r="K199" i="282"/>
  <c r="K206" i="282" s="1"/>
  <c r="J199" i="282"/>
  <c r="N197" i="282"/>
  <c r="M197" i="282"/>
  <c r="I197" i="282"/>
  <c r="H197" i="282"/>
  <c r="G197" i="282"/>
  <c r="F197" i="282"/>
  <c r="E197" i="282"/>
  <c r="D197" i="282"/>
  <c r="C197" i="282"/>
  <c r="N196" i="282"/>
  <c r="M196" i="282"/>
  <c r="I196" i="282"/>
  <c r="H196" i="282"/>
  <c r="G196" i="282"/>
  <c r="F196" i="282"/>
  <c r="E196" i="282"/>
  <c r="D196" i="282"/>
  <c r="C196" i="282"/>
  <c r="N195" i="282"/>
  <c r="M195" i="282"/>
  <c r="I195" i="282"/>
  <c r="H195" i="282"/>
  <c r="G195" i="282"/>
  <c r="F195" i="282"/>
  <c r="E195" i="282"/>
  <c r="D195" i="282"/>
  <c r="C195" i="282"/>
  <c r="K194" i="282"/>
  <c r="J194" i="282"/>
  <c r="K192" i="282"/>
  <c r="J192" i="282"/>
  <c r="K191" i="282"/>
  <c r="J191" i="282"/>
  <c r="K189" i="282"/>
  <c r="K197" i="282" s="1"/>
  <c r="J189" i="282"/>
  <c r="J197" i="282" s="1"/>
  <c r="K188" i="282"/>
  <c r="J188" i="282"/>
  <c r="K187" i="282"/>
  <c r="K195" i="282" s="1"/>
  <c r="J187" i="282"/>
  <c r="N185" i="282"/>
  <c r="M185" i="282"/>
  <c r="I185" i="282"/>
  <c r="H185" i="282"/>
  <c r="G185" i="282"/>
  <c r="F185" i="282"/>
  <c r="E185" i="282"/>
  <c r="D185" i="282"/>
  <c r="C185" i="282"/>
  <c r="N184" i="282"/>
  <c r="M184" i="282"/>
  <c r="I184" i="282"/>
  <c r="H184" i="282"/>
  <c r="G184" i="282"/>
  <c r="F184" i="282"/>
  <c r="E184" i="282"/>
  <c r="D184" i="282"/>
  <c r="C184" i="282"/>
  <c r="N183" i="282"/>
  <c r="M183" i="282"/>
  <c r="I183" i="282"/>
  <c r="H183" i="282"/>
  <c r="G183" i="282"/>
  <c r="F183" i="282"/>
  <c r="E183" i="282"/>
  <c r="D183" i="282"/>
  <c r="C183" i="282"/>
  <c r="K182" i="282"/>
  <c r="J182" i="282"/>
  <c r="K180" i="282"/>
  <c r="J180" i="282"/>
  <c r="L180" i="282" s="1"/>
  <c r="O180" i="282" s="1"/>
  <c r="K179" i="282"/>
  <c r="J179" i="282"/>
  <c r="L179" i="282" s="1"/>
  <c r="O179" i="282" s="1"/>
  <c r="K178" i="282"/>
  <c r="J178" i="282"/>
  <c r="L178" i="282" s="1"/>
  <c r="O178" i="282" s="1"/>
  <c r="K176" i="282"/>
  <c r="K185" i="282" s="1"/>
  <c r="J176" i="282"/>
  <c r="L176" i="282" s="1"/>
  <c r="K175" i="282"/>
  <c r="K184" i="282" s="1"/>
  <c r="J175" i="282"/>
  <c r="L175" i="282" s="1"/>
  <c r="K174" i="282"/>
  <c r="K183" i="282" s="1"/>
  <c r="J174" i="282"/>
  <c r="J183" i="282" s="1"/>
  <c r="N172" i="282"/>
  <c r="M172" i="282"/>
  <c r="I172" i="282"/>
  <c r="H172" i="282"/>
  <c r="G172" i="282"/>
  <c r="F172" i="282"/>
  <c r="E172" i="282"/>
  <c r="D172" i="282"/>
  <c r="C172" i="282"/>
  <c r="N171" i="282"/>
  <c r="M171" i="282"/>
  <c r="I171" i="282"/>
  <c r="H171" i="282"/>
  <c r="G171" i="282"/>
  <c r="F171" i="282"/>
  <c r="E171" i="282"/>
  <c r="D171" i="282"/>
  <c r="C171" i="282"/>
  <c r="N170" i="282"/>
  <c r="M170" i="282"/>
  <c r="I170" i="282"/>
  <c r="H170" i="282"/>
  <c r="G170" i="282"/>
  <c r="F170" i="282"/>
  <c r="E170" i="282"/>
  <c r="D170" i="282"/>
  <c r="C170" i="282"/>
  <c r="K169" i="282"/>
  <c r="K172" i="282" s="1"/>
  <c r="J169" i="282"/>
  <c r="K167" i="282"/>
  <c r="J167" i="282"/>
  <c r="K166" i="282"/>
  <c r="L166" i="282" s="1"/>
  <c r="O166" i="282" s="1"/>
  <c r="J166" i="282"/>
  <c r="K164" i="282"/>
  <c r="J164" i="282"/>
  <c r="J172" i="282" s="1"/>
  <c r="K163" i="282"/>
  <c r="J163" i="282"/>
  <c r="L163" i="282" s="1"/>
  <c r="K162" i="282"/>
  <c r="J162" i="282"/>
  <c r="J170" i="282" s="1"/>
  <c r="N160" i="282"/>
  <c r="M160" i="282"/>
  <c r="I160" i="282"/>
  <c r="H160" i="282"/>
  <c r="G160" i="282"/>
  <c r="F160" i="282"/>
  <c r="E160" i="282"/>
  <c r="D160" i="282"/>
  <c r="C160" i="282"/>
  <c r="N159" i="282"/>
  <c r="M159" i="282"/>
  <c r="I159" i="282"/>
  <c r="H159" i="282"/>
  <c r="G159" i="282"/>
  <c r="F159" i="282"/>
  <c r="E159" i="282"/>
  <c r="D159" i="282"/>
  <c r="C159" i="282"/>
  <c r="N158" i="282"/>
  <c r="M158" i="282"/>
  <c r="I158" i="282"/>
  <c r="H158" i="282"/>
  <c r="G158" i="282"/>
  <c r="F158" i="282"/>
  <c r="E158" i="282"/>
  <c r="D158" i="282"/>
  <c r="C158" i="282"/>
  <c r="K157" i="282"/>
  <c r="J157" i="282"/>
  <c r="K155" i="282"/>
  <c r="J155" i="282"/>
  <c r="K154" i="282"/>
  <c r="J154" i="282"/>
  <c r="K152" i="282"/>
  <c r="J152" i="282"/>
  <c r="K151" i="282"/>
  <c r="K159" i="282" s="1"/>
  <c r="J151" i="282"/>
  <c r="J159" i="282" s="1"/>
  <c r="K150" i="282"/>
  <c r="J150" i="282"/>
  <c r="J158" i="282" s="1"/>
  <c r="N148" i="282"/>
  <c r="M148" i="282"/>
  <c r="I148" i="282"/>
  <c r="H148" i="282"/>
  <c r="G148" i="282"/>
  <c r="F148" i="282"/>
  <c r="E148" i="282"/>
  <c r="D148" i="282"/>
  <c r="C148" i="282"/>
  <c r="N147" i="282"/>
  <c r="M147" i="282"/>
  <c r="I147" i="282"/>
  <c r="H147" i="282"/>
  <c r="G147" i="282"/>
  <c r="F147" i="282"/>
  <c r="E147" i="282"/>
  <c r="D147" i="282"/>
  <c r="C147" i="282"/>
  <c r="N146" i="282"/>
  <c r="M146" i="282"/>
  <c r="I146" i="282"/>
  <c r="H146" i="282"/>
  <c r="G146" i="282"/>
  <c r="F146" i="282"/>
  <c r="E146" i="282"/>
  <c r="D146" i="282"/>
  <c r="C146" i="282"/>
  <c r="K145" i="282"/>
  <c r="J145" i="282"/>
  <c r="L145" i="282" s="1"/>
  <c r="O145" i="282" s="1"/>
  <c r="K143" i="282"/>
  <c r="J143" i="282"/>
  <c r="L143" i="282" s="1"/>
  <c r="O143" i="282" s="1"/>
  <c r="K142" i="282"/>
  <c r="J142" i="282"/>
  <c r="L142" i="282" s="1"/>
  <c r="O142" i="282" s="1"/>
  <c r="K140" i="282"/>
  <c r="K148" i="282" s="1"/>
  <c r="J140" i="282"/>
  <c r="L140" i="282" s="1"/>
  <c r="K139" i="282"/>
  <c r="K147" i="282" s="1"/>
  <c r="J139" i="282"/>
  <c r="L139" i="282" s="1"/>
  <c r="K138" i="282"/>
  <c r="K146" i="282" s="1"/>
  <c r="J138" i="282"/>
  <c r="J146" i="282" s="1"/>
  <c r="N136" i="282"/>
  <c r="M136" i="282"/>
  <c r="I136" i="282"/>
  <c r="H136" i="282"/>
  <c r="G136" i="282"/>
  <c r="F136" i="282"/>
  <c r="E136" i="282"/>
  <c r="D136" i="282"/>
  <c r="C136" i="282"/>
  <c r="N135" i="282"/>
  <c r="M135" i="282"/>
  <c r="I135" i="282"/>
  <c r="H135" i="282"/>
  <c r="G135" i="282"/>
  <c r="F135" i="282"/>
  <c r="E135" i="282"/>
  <c r="D135" i="282"/>
  <c r="C135" i="282"/>
  <c r="N134" i="282"/>
  <c r="M134" i="282"/>
  <c r="I134" i="282"/>
  <c r="H134" i="282"/>
  <c r="G134" i="282"/>
  <c r="F134" i="282"/>
  <c r="E134" i="282"/>
  <c r="D134" i="282"/>
  <c r="C134" i="282"/>
  <c r="K133" i="282"/>
  <c r="J133" i="282"/>
  <c r="L133" i="282" s="1"/>
  <c r="O133" i="282" s="1"/>
  <c r="K131" i="282"/>
  <c r="J131" i="282"/>
  <c r="L131" i="282" s="1"/>
  <c r="O131" i="282" s="1"/>
  <c r="K129" i="282"/>
  <c r="K136" i="282" s="1"/>
  <c r="J129" i="282"/>
  <c r="J136" i="282" s="1"/>
  <c r="L128" i="282"/>
  <c r="K128" i="282"/>
  <c r="K135" i="282" s="1"/>
  <c r="J128" i="282"/>
  <c r="K127" i="282"/>
  <c r="J127" i="282"/>
  <c r="L127" i="282" s="1"/>
  <c r="N125" i="282"/>
  <c r="M125" i="282"/>
  <c r="I125" i="282"/>
  <c r="H125" i="282"/>
  <c r="G125" i="282"/>
  <c r="F125" i="282"/>
  <c r="E125" i="282"/>
  <c r="D125" i="282"/>
  <c r="C125" i="282"/>
  <c r="N124" i="282"/>
  <c r="M124" i="282"/>
  <c r="I124" i="282"/>
  <c r="H124" i="282"/>
  <c r="G124" i="282"/>
  <c r="F124" i="282"/>
  <c r="E124" i="282"/>
  <c r="D124" i="282"/>
  <c r="C124" i="282"/>
  <c r="N123" i="282"/>
  <c r="M123" i="282"/>
  <c r="I123" i="282"/>
  <c r="H123" i="282"/>
  <c r="G123" i="282"/>
  <c r="F123" i="282"/>
  <c r="E123" i="282"/>
  <c r="D123" i="282"/>
  <c r="C123" i="282"/>
  <c r="K122" i="282"/>
  <c r="J122" i="282"/>
  <c r="K120" i="282"/>
  <c r="J120" i="282"/>
  <c r="K118" i="282"/>
  <c r="K125" i="282" s="1"/>
  <c r="J118" i="282"/>
  <c r="J125" i="282" s="1"/>
  <c r="K117" i="282"/>
  <c r="K124" i="282" s="1"/>
  <c r="J117" i="282"/>
  <c r="K116" i="282"/>
  <c r="J116" i="282"/>
  <c r="J123" i="282" s="1"/>
  <c r="N114" i="282"/>
  <c r="M114" i="282"/>
  <c r="I114" i="282"/>
  <c r="H114" i="282"/>
  <c r="G114" i="282"/>
  <c r="F114" i="282"/>
  <c r="E114" i="282"/>
  <c r="D114" i="282"/>
  <c r="C114" i="282"/>
  <c r="N113" i="282"/>
  <c r="M113" i="282"/>
  <c r="I113" i="282"/>
  <c r="H113" i="282"/>
  <c r="G113" i="282"/>
  <c r="F113" i="282"/>
  <c r="E113" i="282"/>
  <c r="D113" i="282"/>
  <c r="C113" i="282"/>
  <c r="N112" i="282"/>
  <c r="M112" i="282"/>
  <c r="I112" i="282"/>
  <c r="I243" i="282" s="1"/>
  <c r="H112" i="282"/>
  <c r="G112" i="282"/>
  <c r="F112" i="282"/>
  <c r="E112" i="282"/>
  <c r="E243" i="282" s="1"/>
  <c r="D112" i="282"/>
  <c r="C112" i="282"/>
  <c r="K111" i="282"/>
  <c r="J111" i="282"/>
  <c r="L111" i="282" s="1"/>
  <c r="O111" i="282" s="1"/>
  <c r="K109" i="282"/>
  <c r="J109" i="282"/>
  <c r="L109" i="282" s="1"/>
  <c r="O109" i="282" s="1"/>
  <c r="K107" i="282"/>
  <c r="K114" i="282" s="1"/>
  <c r="J107" i="282"/>
  <c r="L107" i="282" s="1"/>
  <c r="K106" i="282"/>
  <c r="K113" i="282" s="1"/>
  <c r="J106" i="282"/>
  <c r="J113" i="282" s="1"/>
  <c r="K105" i="282"/>
  <c r="K112" i="282" s="1"/>
  <c r="J105" i="282"/>
  <c r="J112" i="282" s="1"/>
  <c r="N102" i="282"/>
  <c r="M102" i="282"/>
  <c r="I102" i="282"/>
  <c r="H102" i="282"/>
  <c r="G102" i="282"/>
  <c r="F102" i="282"/>
  <c r="E102" i="282"/>
  <c r="D102" i="282"/>
  <c r="C102" i="282"/>
  <c r="N101" i="282"/>
  <c r="M101" i="282"/>
  <c r="I101" i="282"/>
  <c r="H101" i="282"/>
  <c r="G101" i="282"/>
  <c r="F101" i="282"/>
  <c r="E101" i="282"/>
  <c r="D101" i="282"/>
  <c r="C101" i="282"/>
  <c r="N100" i="282"/>
  <c r="M100" i="282"/>
  <c r="I100" i="282"/>
  <c r="H100" i="282"/>
  <c r="G100" i="282"/>
  <c r="F100" i="282"/>
  <c r="E100" i="282"/>
  <c r="D100" i="282"/>
  <c r="C100" i="282"/>
  <c r="K99" i="282"/>
  <c r="J99" i="282"/>
  <c r="K97" i="282"/>
  <c r="J97" i="282"/>
  <c r="K96" i="282"/>
  <c r="J96" i="282"/>
  <c r="K94" i="282"/>
  <c r="J94" i="282"/>
  <c r="K93" i="282"/>
  <c r="K101" i="282" s="1"/>
  <c r="J93" i="282"/>
  <c r="J101" i="282" s="1"/>
  <c r="K92" i="282"/>
  <c r="J92" i="282"/>
  <c r="J100" i="282" s="1"/>
  <c r="N90" i="282"/>
  <c r="M90" i="282"/>
  <c r="I90" i="282"/>
  <c r="H90" i="282"/>
  <c r="G90" i="282"/>
  <c r="F90" i="282"/>
  <c r="E90" i="282"/>
  <c r="D90" i="282"/>
  <c r="C90" i="282"/>
  <c r="N89" i="282"/>
  <c r="M89" i="282"/>
  <c r="I89" i="282"/>
  <c r="H89" i="282"/>
  <c r="G89" i="282"/>
  <c r="F89" i="282"/>
  <c r="E89" i="282"/>
  <c r="D89" i="282"/>
  <c r="C89" i="282"/>
  <c r="N88" i="282"/>
  <c r="M88" i="282"/>
  <c r="I88" i="282"/>
  <c r="H88" i="282"/>
  <c r="G88" i="282"/>
  <c r="F88" i="282"/>
  <c r="E88" i="282"/>
  <c r="D88" i="282"/>
  <c r="C88" i="282"/>
  <c r="K87" i="282"/>
  <c r="J87" i="282"/>
  <c r="L87" i="282" s="1"/>
  <c r="O87" i="282" s="1"/>
  <c r="K85" i="282"/>
  <c r="J85" i="282"/>
  <c r="L85" i="282" s="1"/>
  <c r="O85" i="282" s="1"/>
  <c r="K84" i="282"/>
  <c r="J84" i="282"/>
  <c r="L84" i="282" s="1"/>
  <c r="O84" i="282" s="1"/>
  <c r="K82" i="282"/>
  <c r="K90" i="282" s="1"/>
  <c r="J82" i="282"/>
  <c r="K81" i="282"/>
  <c r="K89" i="282" s="1"/>
  <c r="J81" i="282"/>
  <c r="L81" i="282" s="1"/>
  <c r="K80" i="282"/>
  <c r="K88" i="282" s="1"/>
  <c r="J80" i="282"/>
  <c r="N78" i="282"/>
  <c r="M78" i="282"/>
  <c r="I78" i="282"/>
  <c r="H78" i="282"/>
  <c r="G78" i="282"/>
  <c r="F78" i="282"/>
  <c r="E78" i="282"/>
  <c r="D78" i="282"/>
  <c r="C78" i="282"/>
  <c r="N77" i="282"/>
  <c r="M77" i="282"/>
  <c r="I77" i="282"/>
  <c r="H77" i="282"/>
  <c r="G77" i="282"/>
  <c r="F77" i="282"/>
  <c r="E77" i="282"/>
  <c r="D77" i="282"/>
  <c r="C77" i="282"/>
  <c r="N76" i="282"/>
  <c r="M76" i="282"/>
  <c r="I76" i="282"/>
  <c r="H76" i="282"/>
  <c r="G76" i="282"/>
  <c r="F76" i="282"/>
  <c r="E76" i="282"/>
  <c r="D76" i="282"/>
  <c r="C76" i="282"/>
  <c r="K75" i="282"/>
  <c r="J75" i="282"/>
  <c r="L75" i="282" s="1"/>
  <c r="O75" i="282" s="1"/>
  <c r="K73" i="282"/>
  <c r="J73" i="282"/>
  <c r="L73" i="282" s="1"/>
  <c r="O73" i="282" s="1"/>
  <c r="K72" i="282"/>
  <c r="J72" i="282"/>
  <c r="L72" i="282" s="1"/>
  <c r="O72" i="282" s="1"/>
  <c r="K70" i="282"/>
  <c r="K78" i="282" s="1"/>
  <c r="J70" i="282"/>
  <c r="J78" i="282" s="1"/>
  <c r="K69" i="282"/>
  <c r="K77" i="282" s="1"/>
  <c r="J69" i="282"/>
  <c r="J77" i="282" s="1"/>
  <c r="K68" i="282"/>
  <c r="K76" i="282" s="1"/>
  <c r="J68" i="282"/>
  <c r="L68" i="282" s="1"/>
  <c r="N66" i="282"/>
  <c r="M66" i="282"/>
  <c r="I66" i="282"/>
  <c r="H66" i="282"/>
  <c r="G66" i="282"/>
  <c r="F66" i="282"/>
  <c r="E66" i="282"/>
  <c r="D66" i="282"/>
  <c r="C66" i="282"/>
  <c r="N65" i="282"/>
  <c r="M65" i="282"/>
  <c r="I65" i="282"/>
  <c r="H65" i="282"/>
  <c r="G65" i="282"/>
  <c r="F65" i="282"/>
  <c r="E65" i="282"/>
  <c r="D65" i="282"/>
  <c r="C65" i="282"/>
  <c r="N64" i="282"/>
  <c r="M64" i="282"/>
  <c r="I64" i="282"/>
  <c r="H64" i="282"/>
  <c r="G64" i="282"/>
  <c r="F64" i="282"/>
  <c r="E64" i="282"/>
  <c r="D64" i="282"/>
  <c r="C64" i="282"/>
  <c r="K63" i="282"/>
  <c r="J63" i="282"/>
  <c r="K61" i="282"/>
  <c r="J61" i="282"/>
  <c r="K60" i="282"/>
  <c r="J60" i="282"/>
  <c r="L60" i="282" s="1"/>
  <c r="O60" i="282" s="1"/>
  <c r="K58" i="282"/>
  <c r="J58" i="282"/>
  <c r="K57" i="282"/>
  <c r="J57" i="282"/>
  <c r="J65" i="282" s="1"/>
  <c r="K56" i="282"/>
  <c r="J56" i="282"/>
  <c r="L56" i="282" s="1"/>
  <c r="N54" i="282"/>
  <c r="M54" i="282"/>
  <c r="I54" i="282"/>
  <c r="H54" i="282"/>
  <c r="G54" i="282"/>
  <c r="F54" i="282"/>
  <c r="E54" i="282"/>
  <c r="D54" i="282"/>
  <c r="C54" i="282"/>
  <c r="N53" i="282"/>
  <c r="M53" i="282"/>
  <c r="I53" i="282"/>
  <c r="H53" i="282"/>
  <c r="G53" i="282"/>
  <c r="F53" i="282"/>
  <c r="E53" i="282"/>
  <c r="D53" i="282"/>
  <c r="C53" i="282"/>
  <c r="N52" i="282"/>
  <c r="M52" i="282"/>
  <c r="I52" i="282"/>
  <c r="H52" i="282"/>
  <c r="G52" i="282"/>
  <c r="F52" i="282"/>
  <c r="E52" i="282"/>
  <c r="D52" i="282"/>
  <c r="C52" i="282"/>
  <c r="K51" i="282"/>
  <c r="J51" i="282"/>
  <c r="K49" i="282"/>
  <c r="J49" i="282"/>
  <c r="K48" i="282"/>
  <c r="J48" i="282"/>
  <c r="K46" i="282"/>
  <c r="J46" i="282"/>
  <c r="J54" i="282" s="1"/>
  <c r="K45" i="282"/>
  <c r="K53" i="282" s="1"/>
  <c r="J45" i="282"/>
  <c r="K44" i="282"/>
  <c r="J44" i="282"/>
  <c r="J52" i="282" s="1"/>
  <c r="N42" i="282"/>
  <c r="M42" i="282"/>
  <c r="I42" i="282"/>
  <c r="H42" i="282"/>
  <c r="G42" i="282"/>
  <c r="F42" i="282"/>
  <c r="E42" i="282"/>
  <c r="D42" i="282"/>
  <c r="C42" i="282"/>
  <c r="N41" i="282"/>
  <c r="M41" i="282"/>
  <c r="I41" i="282"/>
  <c r="H41" i="282"/>
  <c r="G41" i="282"/>
  <c r="F41" i="282"/>
  <c r="E41" i="282"/>
  <c r="D41" i="282"/>
  <c r="C41" i="282"/>
  <c r="N40" i="282"/>
  <c r="M40" i="282"/>
  <c r="I40" i="282"/>
  <c r="H40" i="282"/>
  <c r="H103" i="282" s="1"/>
  <c r="G40" i="282"/>
  <c r="F40" i="282"/>
  <c r="F103" i="282" s="1"/>
  <c r="E40" i="282"/>
  <c r="D40" i="282"/>
  <c r="D103" i="282" s="1"/>
  <c r="C40" i="282"/>
  <c r="K39" i="282"/>
  <c r="J39" i="282"/>
  <c r="K37" i="282"/>
  <c r="J37" i="282"/>
  <c r="K36" i="282"/>
  <c r="J36" i="282"/>
  <c r="K35" i="282"/>
  <c r="J35" i="282"/>
  <c r="K33" i="282"/>
  <c r="K42" i="282" s="1"/>
  <c r="J33" i="282"/>
  <c r="K32" i="282"/>
  <c r="J32" i="282"/>
  <c r="K31" i="282"/>
  <c r="K40" i="282" s="1"/>
  <c r="J31" i="282"/>
  <c r="N28" i="282"/>
  <c r="M28" i="282"/>
  <c r="I28" i="282"/>
  <c r="H28" i="282"/>
  <c r="G28" i="282"/>
  <c r="F28" i="282"/>
  <c r="E28" i="282"/>
  <c r="D28" i="282"/>
  <c r="C28" i="282"/>
  <c r="N27" i="282"/>
  <c r="M27" i="282"/>
  <c r="I27" i="282"/>
  <c r="H27" i="282"/>
  <c r="G27" i="282"/>
  <c r="F27" i="282"/>
  <c r="E27" i="282"/>
  <c r="D27" i="282"/>
  <c r="C27" i="282"/>
  <c r="N26" i="282"/>
  <c r="M26" i="282"/>
  <c r="I26" i="282"/>
  <c r="H26" i="282"/>
  <c r="G26" i="282"/>
  <c r="F26" i="282"/>
  <c r="E26" i="282"/>
  <c r="D26" i="282"/>
  <c r="C26" i="282"/>
  <c r="K25" i="282"/>
  <c r="K429" i="282" s="1"/>
  <c r="J25" i="282"/>
  <c r="K24" i="282"/>
  <c r="J24" i="282"/>
  <c r="K22" i="282"/>
  <c r="J22" i="282"/>
  <c r="K21" i="282"/>
  <c r="J21" i="282"/>
  <c r="K19" i="282"/>
  <c r="K28" i="282" s="1"/>
  <c r="J19" i="282"/>
  <c r="K18" i="282"/>
  <c r="K27" i="282" s="1"/>
  <c r="J18" i="282"/>
  <c r="K17" i="282"/>
  <c r="K26" i="282" s="1"/>
  <c r="J17" i="282"/>
  <c r="N15" i="282"/>
  <c r="M15" i="282"/>
  <c r="I15" i="282"/>
  <c r="H15" i="282"/>
  <c r="H443" i="282" s="1"/>
  <c r="G15" i="282"/>
  <c r="F15" i="282"/>
  <c r="E15" i="282"/>
  <c r="D15" i="282"/>
  <c r="D443" i="282" s="1"/>
  <c r="C15" i="282"/>
  <c r="N14" i="282"/>
  <c r="M14" i="282"/>
  <c r="I14" i="282"/>
  <c r="I442" i="282" s="1"/>
  <c r="H14" i="282"/>
  <c r="G14" i="282"/>
  <c r="F14" i="282"/>
  <c r="E14" i="282"/>
  <c r="E442" i="282" s="1"/>
  <c r="D14" i="282"/>
  <c r="C14" i="282"/>
  <c r="N13" i="282"/>
  <c r="M13" i="282"/>
  <c r="M29" i="282" s="1"/>
  <c r="I13" i="282"/>
  <c r="H13" i="282"/>
  <c r="G13" i="282"/>
  <c r="F13" i="282"/>
  <c r="E13" i="282"/>
  <c r="D13" i="282"/>
  <c r="D29" i="282" s="1"/>
  <c r="C13" i="282"/>
  <c r="K12" i="282"/>
  <c r="L12" i="282" s="1"/>
  <c r="J12" i="282"/>
  <c r="K10" i="282"/>
  <c r="J10" i="282"/>
  <c r="K8" i="282"/>
  <c r="K15" i="282" s="1"/>
  <c r="J8" i="282"/>
  <c r="J15" i="282" s="1"/>
  <c r="K7" i="282"/>
  <c r="J7" i="282"/>
  <c r="J14" i="282" s="1"/>
  <c r="K6" i="282"/>
  <c r="J6" i="282"/>
  <c r="J135" i="282" l="1"/>
  <c r="K158" i="282"/>
  <c r="K160" i="282"/>
  <c r="L164" i="282"/>
  <c r="J184" i="282"/>
  <c r="K196" i="282"/>
  <c r="J206" i="282"/>
  <c r="J256" i="282"/>
  <c r="K317" i="282"/>
  <c r="J13" i="282"/>
  <c r="L63" i="282"/>
  <c r="O63" i="282" s="1"/>
  <c r="L94" i="282"/>
  <c r="L97" i="282"/>
  <c r="O97" i="282" s="1"/>
  <c r="L122" i="282"/>
  <c r="O122" i="282" s="1"/>
  <c r="L129" i="282"/>
  <c r="L136" i="282" s="1"/>
  <c r="L154" i="282"/>
  <c r="O154" i="282" s="1"/>
  <c r="L157" i="282"/>
  <c r="O157" i="282" s="1"/>
  <c r="K171" i="282"/>
  <c r="L169" i="282"/>
  <c r="O169" i="282" s="1"/>
  <c r="L216" i="282"/>
  <c r="O216" i="282" s="1"/>
  <c r="L252" i="282"/>
  <c r="O252" i="282" s="1"/>
  <c r="L272" i="282"/>
  <c r="L277" i="282"/>
  <c r="O277" i="282" s="1"/>
  <c r="L292" i="282"/>
  <c r="O292" i="282" s="1"/>
  <c r="L302" i="282"/>
  <c r="J330" i="282"/>
  <c r="J332" i="282"/>
  <c r="K350" i="282"/>
  <c r="L404" i="282"/>
  <c r="O404" i="282" s="1"/>
  <c r="K100" i="282"/>
  <c r="K102" i="282"/>
  <c r="L135" i="282"/>
  <c r="J185" i="282"/>
  <c r="E29" i="282"/>
  <c r="I29" i="282"/>
  <c r="H29" i="282"/>
  <c r="N103" i="282"/>
  <c r="K64" i="282"/>
  <c r="K66" i="282"/>
  <c r="L61" i="282"/>
  <c r="O61" i="282" s="1"/>
  <c r="L96" i="282"/>
  <c r="O96" i="282" s="1"/>
  <c r="L99" i="282"/>
  <c r="O99" i="282" s="1"/>
  <c r="L120" i="282"/>
  <c r="O120" i="282" s="1"/>
  <c r="K134" i="282"/>
  <c r="L152" i="282"/>
  <c r="L155" i="282"/>
  <c r="O155" i="282" s="1"/>
  <c r="L167" i="282"/>
  <c r="O167" i="282" s="1"/>
  <c r="L191" i="282"/>
  <c r="O191" i="282" s="1"/>
  <c r="L214" i="282"/>
  <c r="O214" i="282" s="1"/>
  <c r="K229" i="282"/>
  <c r="K295" i="282"/>
  <c r="J297" i="282"/>
  <c r="L305" i="282"/>
  <c r="O305" i="282" s="1"/>
  <c r="J331" i="282"/>
  <c r="L329" i="282"/>
  <c r="O329" i="282" s="1"/>
  <c r="L347" i="282"/>
  <c r="O347" i="282" s="1"/>
  <c r="L401" i="282"/>
  <c r="O401" i="282" s="1"/>
  <c r="L7" i="282"/>
  <c r="O7" i="282" s="1"/>
  <c r="K13" i="282"/>
  <c r="K29" i="282" s="1"/>
  <c r="L6" i="282"/>
  <c r="L10" i="282"/>
  <c r="L14" i="282" s="1"/>
  <c r="L171" i="282"/>
  <c r="L184" i="282"/>
  <c r="O175" i="282"/>
  <c r="O184" i="282" s="1"/>
  <c r="L76" i="282"/>
  <c r="O68" i="282"/>
  <c r="O76" i="282" s="1"/>
  <c r="L134" i="282"/>
  <c r="O127" i="282"/>
  <c r="O134" i="282" s="1"/>
  <c r="O176" i="282"/>
  <c r="K41" i="282"/>
  <c r="K14" i="282"/>
  <c r="L8" i="282"/>
  <c r="O8" i="282" s="1"/>
  <c r="N29" i="282"/>
  <c r="M442" i="282"/>
  <c r="L36" i="282"/>
  <c r="O36" i="282" s="1"/>
  <c r="L39" i="282"/>
  <c r="O39" i="282" s="1"/>
  <c r="J53" i="282"/>
  <c r="L48" i="282"/>
  <c r="O48" i="282" s="1"/>
  <c r="L51" i="282"/>
  <c r="O51" i="282" s="1"/>
  <c r="J76" i="282"/>
  <c r="J102" i="282"/>
  <c r="M243" i="282"/>
  <c r="J124" i="282"/>
  <c r="O128" i="282"/>
  <c r="O135" i="282" s="1"/>
  <c r="O129" i="282"/>
  <c r="O136" i="282" s="1"/>
  <c r="J134" i="282"/>
  <c r="J160" i="282"/>
  <c r="K170" i="282"/>
  <c r="L174" i="282"/>
  <c r="J195" i="282"/>
  <c r="L194" i="282"/>
  <c r="O194" i="282" s="1"/>
  <c r="L203" i="282"/>
  <c r="O203" i="282" s="1"/>
  <c r="J217" i="282"/>
  <c r="K231" i="282"/>
  <c r="L227" i="282"/>
  <c r="O227" i="282" s="1"/>
  <c r="L247" i="282"/>
  <c r="C284" i="282"/>
  <c r="G284" i="282"/>
  <c r="K268" i="282"/>
  <c r="L264" i="282"/>
  <c r="O264" i="282" s="1"/>
  <c r="L274" i="282"/>
  <c r="E284" i="282"/>
  <c r="K308" i="282"/>
  <c r="J307" i="282"/>
  <c r="L313" i="282"/>
  <c r="O313" i="282" s="1"/>
  <c r="K331" i="282"/>
  <c r="L321" i="282"/>
  <c r="L339" i="282"/>
  <c r="O339" i="282" s="1"/>
  <c r="L346" i="282"/>
  <c r="O346" i="282" s="1"/>
  <c r="L363" i="282"/>
  <c r="E441" i="282"/>
  <c r="I441" i="282"/>
  <c r="J66" i="282"/>
  <c r="L118" i="282"/>
  <c r="L125" i="282" s="1"/>
  <c r="L162" i="282"/>
  <c r="L170" i="282" s="1"/>
  <c r="L246" i="282"/>
  <c r="K307" i="282"/>
  <c r="L300" i="282"/>
  <c r="L320" i="282"/>
  <c r="L368" i="282"/>
  <c r="L369" i="282"/>
  <c r="C441" i="282"/>
  <c r="F29" i="282"/>
  <c r="D442" i="282"/>
  <c r="H442" i="282"/>
  <c r="C443" i="282"/>
  <c r="L18" i="282"/>
  <c r="L21" i="282"/>
  <c r="O21" i="282" s="1"/>
  <c r="L24" i="282"/>
  <c r="O24" i="282" s="1"/>
  <c r="C29" i="282"/>
  <c r="G29" i="282"/>
  <c r="L32" i="282"/>
  <c r="L35" i="282"/>
  <c r="O35" i="282" s="1"/>
  <c r="C103" i="282"/>
  <c r="G103" i="282"/>
  <c r="L46" i="282"/>
  <c r="L54" i="282" s="1"/>
  <c r="L49" i="282"/>
  <c r="O49" i="282" s="1"/>
  <c r="J64" i="282"/>
  <c r="K65" i="282"/>
  <c r="L58" i="282"/>
  <c r="L66" i="282" s="1"/>
  <c r="E103" i="282"/>
  <c r="E244" i="282" s="1"/>
  <c r="E392" i="282" s="1"/>
  <c r="E410" i="282" s="1"/>
  <c r="I103" i="282"/>
  <c r="I244" i="282" s="1"/>
  <c r="D243" i="282"/>
  <c r="H243" i="282"/>
  <c r="H244" i="282" s="1"/>
  <c r="J114" i="282"/>
  <c r="K123" i="282"/>
  <c r="K243" i="282" s="1"/>
  <c r="L117" i="282"/>
  <c r="O117" i="282" s="1"/>
  <c r="J171" i="282"/>
  <c r="L182" i="282"/>
  <c r="O182" i="282" s="1"/>
  <c r="J196" i="282"/>
  <c r="L189" i="282"/>
  <c r="L192" i="282"/>
  <c r="O192" i="282" s="1"/>
  <c r="L205" i="282"/>
  <c r="O205" i="282" s="1"/>
  <c r="J218" i="282"/>
  <c r="L212" i="282"/>
  <c r="L234" i="282"/>
  <c r="O234" i="282" s="1"/>
  <c r="O241" i="282" s="1"/>
  <c r="L237" i="282"/>
  <c r="O237" i="282" s="1"/>
  <c r="N284" i="282"/>
  <c r="J281" i="282"/>
  <c r="L273" i="282"/>
  <c r="O273" i="282" s="1"/>
  <c r="K282" i="282"/>
  <c r="J295" i="282"/>
  <c r="L294" i="282"/>
  <c r="O294" i="282" s="1"/>
  <c r="L304" i="282"/>
  <c r="L427" i="282" s="1"/>
  <c r="L314" i="282"/>
  <c r="O314" i="282" s="1"/>
  <c r="L319" i="282"/>
  <c r="L324" i="282"/>
  <c r="L415" i="282" s="1"/>
  <c r="K349" i="282"/>
  <c r="L345" i="282"/>
  <c r="O345" i="282" s="1"/>
  <c r="J371" i="282"/>
  <c r="N441" i="282"/>
  <c r="L57" i="282"/>
  <c r="O57" i="282" s="1"/>
  <c r="O65" i="282" s="1"/>
  <c r="M103" i="282"/>
  <c r="M244" i="282" s="1"/>
  <c r="M392" i="282" s="1"/>
  <c r="M410" i="282" s="1"/>
  <c r="L69" i="282"/>
  <c r="L70" i="282"/>
  <c r="L116" i="282"/>
  <c r="L123" i="282" s="1"/>
  <c r="L172" i="282"/>
  <c r="L248" i="282"/>
  <c r="L257" i="282" s="1"/>
  <c r="K269" i="282"/>
  <c r="K296" i="282"/>
  <c r="O362" i="282"/>
  <c r="L15" i="282"/>
  <c r="O32" i="282"/>
  <c r="K442" i="282"/>
  <c r="O18" i="282"/>
  <c r="O58" i="282"/>
  <c r="O66" i="282" s="1"/>
  <c r="L33" i="282"/>
  <c r="J42" i="282"/>
  <c r="J41" i="282"/>
  <c r="O46" i="282"/>
  <c r="O54" i="282" s="1"/>
  <c r="O81" i="282"/>
  <c r="O89" i="282" s="1"/>
  <c r="L89" i="282"/>
  <c r="J89" i="282"/>
  <c r="L102" i="282"/>
  <c r="O94" i="282"/>
  <c r="O102" i="282" s="1"/>
  <c r="O139" i="282"/>
  <c r="O147" i="282" s="1"/>
  <c r="L147" i="282"/>
  <c r="L13" i="282"/>
  <c r="J40" i="282"/>
  <c r="L31" i="282"/>
  <c r="O6" i="282"/>
  <c r="O10" i="282"/>
  <c r="O14" i="282" s="1"/>
  <c r="O12" i="282"/>
  <c r="J29" i="282"/>
  <c r="J26" i="282"/>
  <c r="L17" i="282"/>
  <c r="L19" i="282"/>
  <c r="J28" i="282"/>
  <c r="J414" i="282"/>
  <c r="L22" i="282"/>
  <c r="L27" i="282" s="1"/>
  <c r="J429" i="282"/>
  <c r="L25" i="282"/>
  <c r="J27" i="282"/>
  <c r="D244" i="282"/>
  <c r="K52" i="282"/>
  <c r="K103" i="282" s="1"/>
  <c r="K54" i="282"/>
  <c r="L64" i="282"/>
  <c r="O56" i="282"/>
  <c r="O64" i="282" s="1"/>
  <c r="O124" i="282"/>
  <c r="J417" i="282"/>
  <c r="L37" i="282"/>
  <c r="J88" i="282"/>
  <c r="L80" i="282"/>
  <c r="L82" i="282"/>
  <c r="J90" i="282"/>
  <c r="L114" i="282"/>
  <c r="O107" i="282"/>
  <c r="O114" i="282" s="1"/>
  <c r="L148" i="282"/>
  <c r="O140" i="282"/>
  <c r="O148" i="282" s="1"/>
  <c r="L160" i="282"/>
  <c r="O152" i="282"/>
  <c r="O160" i="282" s="1"/>
  <c r="L124" i="282"/>
  <c r="J147" i="282"/>
  <c r="L241" i="282"/>
  <c r="L255" i="282"/>
  <c r="O246" i="282"/>
  <c r="O255" i="282" s="1"/>
  <c r="J413" i="282"/>
  <c r="J426" i="282"/>
  <c r="F442" i="282"/>
  <c r="N442" i="282"/>
  <c r="E443" i="282"/>
  <c r="I443" i="282"/>
  <c r="M443" i="282"/>
  <c r="K414" i="282"/>
  <c r="K417" i="282"/>
  <c r="L44" i="282"/>
  <c r="L45" i="282"/>
  <c r="L92" i="282"/>
  <c r="L93" i="282"/>
  <c r="L105" i="282"/>
  <c r="L106" i="282"/>
  <c r="O116" i="282"/>
  <c r="O123" i="282" s="1"/>
  <c r="O118" i="282"/>
  <c r="O125" i="282" s="1"/>
  <c r="J148" i="282"/>
  <c r="L150" i="282"/>
  <c r="L151" i="282"/>
  <c r="O163" i="282"/>
  <c r="O171" i="282" s="1"/>
  <c r="O164" i="282"/>
  <c r="O172" i="282" s="1"/>
  <c r="L188" i="282"/>
  <c r="L199" i="282"/>
  <c r="L200" i="282"/>
  <c r="L201" i="282"/>
  <c r="L210" i="282"/>
  <c r="L211" i="282"/>
  <c r="O222" i="282"/>
  <c r="O230" i="282" s="1"/>
  <c r="J229" i="282"/>
  <c r="J230" i="282"/>
  <c r="I284" i="282"/>
  <c r="K270" i="282"/>
  <c r="L297" i="282"/>
  <c r="O288" i="282"/>
  <c r="O297" i="282" s="1"/>
  <c r="K416" i="282"/>
  <c r="L197" i="282"/>
  <c r="O189" i="282"/>
  <c r="L261" i="282"/>
  <c r="J270" i="282"/>
  <c r="O286" i="282"/>
  <c r="L311" i="282"/>
  <c r="J317" i="282"/>
  <c r="J411" i="282"/>
  <c r="K411" i="282"/>
  <c r="K413" i="282"/>
  <c r="K426" i="282"/>
  <c r="C442" i="282"/>
  <c r="G442" i="282"/>
  <c r="F443" i="282"/>
  <c r="N443" i="282"/>
  <c r="F243" i="282"/>
  <c r="F244" i="282" s="1"/>
  <c r="N243" i="282"/>
  <c r="N244" i="282" s="1"/>
  <c r="L138" i="282"/>
  <c r="L187" i="282"/>
  <c r="O221" i="282"/>
  <c r="L223" i="282"/>
  <c r="J231" i="282"/>
  <c r="J240" i="282"/>
  <c r="L233" i="282"/>
  <c r="L235" i="282"/>
  <c r="L239" i="282"/>
  <c r="O239" i="282" s="1"/>
  <c r="O248" i="282"/>
  <c r="O257" i="282" s="1"/>
  <c r="L260" i="282"/>
  <c r="J269" i="282"/>
  <c r="L267" i="282"/>
  <c r="O267" i="282" s="1"/>
  <c r="L276" i="282"/>
  <c r="L281" i="282" s="1"/>
  <c r="L291" i="282"/>
  <c r="L295" i="282" s="1"/>
  <c r="O299" i="282"/>
  <c r="O300" i="282"/>
  <c r="O302" i="282"/>
  <c r="O425" i="282" s="1"/>
  <c r="O306" i="282"/>
  <c r="O435" i="282" s="1"/>
  <c r="F391" i="282"/>
  <c r="O335" i="282"/>
  <c r="G443" i="282"/>
  <c r="C243" i="282"/>
  <c r="C244" i="282" s="1"/>
  <c r="G243" i="282"/>
  <c r="G244" i="282" s="1"/>
  <c r="J428" i="282"/>
  <c r="L228" i="282"/>
  <c r="L229" i="282" s="1"/>
  <c r="J241" i="282"/>
  <c r="L256" i="282"/>
  <c r="O247" i="282"/>
  <c r="O256" i="282" s="1"/>
  <c r="O272" i="282"/>
  <c r="L283" i="282"/>
  <c r="O274" i="282"/>
  <c r="O283" i="282" s="1"/>
  <c r="K283" i="282"/>
  <c r="O287" i="282"/>
  <c r="J418" i="282"/>
  <c r="L340" i="282"/>
  <c r="J348" i="282"/>
  <c r="J349" i="282"/>
  <c r="J422" i="282"/>
  <c r="L343" i="282"/>
  <c r="J268" i="282"/>
  <c r="J284" i="282" s="1"/>
  <c r="K297" i="282"/>
  <c r="J316" i="282"/>
  <c r="L310" i="282"/>
  <c r="J434" i="282"/>
  <c r="L315" i="282"/>
  <c r="J421" i="282"/>
  <c r="L342" i="282"/>
  <c r="K359" i="282"/>
  <c r="L263" i="282"/>
  <c r="K281" i="282"/>
  <c r="K284" i="282" s="1"/>
  <c r="L278" i="282"/>
  <c r="J416" i="282"/>
  <c r="K391" i="282"/>
  <c r="N391" i="282"/>
  <c r="O319" i="282"/>
  <c r="O324" i="282"/>
  <c r="O415" i="282" s="1"/>
  <c r="O334" i="282"/>
  <c r="L336" i="282"/>
  <c r="J350" i="282"/>
  <c r="L341" i="282"/>
  <c r="J420" i="282"/>
  <c r="J406" i="282"/>
  <c r="L394" i="282"/>
  <c r="L396" i="282"/>
  <c r="J408" i="282"/>
  <c r="L403" i="282"/>
  <c r="J438" i="282"/>
  <c r="J440" i="282"/>
  <c r="L405" i="282"/>
  <c r="J407" i="282"/>
  <c r="J435" i="282"/>
  <c r="C391" i="282"/>
  <c r="G391" i="282"/>
  <c r="L352" i="282"/>
  <c r="L353" i="282"/>
  <c r="L356" i="282"/>
  <c r="L378" i="282"/>
  <c r="O378" i="282" s="1"/>
  <c r="L381" i="282"/>
  <c r="O381" i="282" s="1"/>
  <c r="L383" i="282"/>
  <c r="O383" i="282" s="1"/>
  <c r="L385" i="282"/>
  <c r="O385" i="282" s="1"/>
  <c r="J437" i="282"/>
  <c r="K425" i="282"/>
  <c r="K435" i="282"/>
  <c r="D391" i="282"/>
  <c r="H391" i="282"/>
  <c r="O395" i="282"/>
  <c r="J409" i="282"/>
  <c r="J444" i="282" s="1"/>
  <c r="L397" i="282"/>
  <c r="J423" i="282"/>
  <c r="L400" i="282"/>
  <c r="O402" i="282"/>
  <c r="O437" i="282" s="1"/>
  <c r="L437" i="282"/>
  <c r="L376" i="282"/>
  <c r="L380" i="282"/>
  <c r="O380" i="282" s="1"/>
  <c r="L382" i="282"/>
  <c r="O382" i="282" s="1"/>
  <c r="L384" i="282"/>
  <c r="O384" i="282" s="1"/>
  <c r="L386" i="282"/>
  <c r="O386" i="282" s="1"/>
  <c r="L358" i="282"/>
  <c r="J372" i="282"/>
  <c r="L374" i="282"/>
  <c r="L375" i="282"/>
  <c r="L387" i="282"/>
  <c r="E9" i="253"/>
  <c r="B7" i="253"/>
  <c r="B6" i="253"/>
  <c r="L330" i="282" l="1"/>
  <c r="C392" i="282"/>
  <c r="C410" i="282" s="1"/>
  <c r="F392" i="282"/>
  <c r="F410" i="282" s="1"/>
  <c r="O185" i="282"/>
  <c r="L435" i="282"/>
  <c r="K443" i="282"/>
  <c r="J443" i="282"/>
  <c r="J442" i="282"/>
  <c r="J391" i="282"/>
  <c r="G392" i="282"/>
  <c r="G410" i="282" s="1"/>
  <c r="I392" i="282"/>
  <c r="I410" i="282" s="1"/>
  <c r="O162" i="282"/>
  <c r="O170" i="282" s="1"/>
  <c r="L65" i="282"/>
  <c r="J103" i="282"/>
  <c r="J244" i="282" s="1"/>
  <c r="J392" i="282" s="1"/>
  <c r="J410" i="282" s="1"/>
  <c r="L432" i="282"/>
  <c r="O369" i="282"/>
  <c r="O432" i="282" s="1"/>
  <c r="L308" i="282"/>
  <c r="L372" i="282"/>
  <c r="O363" i="282"/>
  <c r="L430" i="282"/>
  <c r="O368" i="282"/>
  <c r="O430" i="282" s="1"/>
  <c r="L183" i="282"/>
  <c r="O174" i="282"/>
  <c r="O183" i="282" s="1"/>
  <c r="H392" i="282"/>
  <c r="H410" i="282" s="1"/>
  <c r="L349" i="282"/>
  <c r="O304" i="282"/>
  <c r="O427" i="282" s="1"/>
  <c r="N392" i="282"/>
  <c r="N410" i="282" s="1"/>
  <c r="O197" i="282"/>
  <c r="J243" i="282"/>
  <c r="L78" i="282"/>
  <c r="O70" i="282"/>
  <c r="O78" i="282" s="1"/>
  <c r="O212" i="282"/>
  <c r="O219" i="282" s="1"/>
  <c r="L219" i="282"/>
  <c r="L371" i="282"/>
  <c r="L185" i="282"/>
  <c r="L425" i="282"/>
  <c r="L77" i="282"/>
  <c r="O69" i="282"/>
  <c r="O77" i="282" s="1"/>
  <c r="O320" i="282"/>
  <c r="L331" i="282"/>
  <c r="O321" i="282"/>
  <c r="O332" i="282" s="1"/>
  <c r="L332" i="282"/>
  <c r="L307" i="282"/>
  <c r="L433" i="282"/>
  <c r="O356" i="282"/>
  <c r="O433" i="282" s="1"/>
  <c r="L408" i="282"/>
  <c r="O396" i="282"/>
  <c r="L348" i="282"/>
  <c r="O211" i="282"/>
  <c r="O218" i="282" s="1"/>
  <c r="L218" i="282"/>
  <c r="O93" i="282"/>
  <c r="O101" i="282" s="1"/>
  <c r="L101" i="282"/>
  <c r="O387" i="282"/>
  <c r="O431" i="282" s="1"/>
  <c r="L431" i="282"/>
  <c r="O358" i="282"/>
  <c r="O436" i="282" s="1"/>
  <c r="L436" i="282"/>
  <c r="O400" i="282"/>
  <c r="O423" i="282" s="1"/>
  <c r="L423" i="282"/>
  <c r="L407" i="282"/>
  <c r="L360" i="282"/>
  <c r="O353" i="282"/>
  <c r="O360" i="282" s="1"/>
  <c r="O394" i="282"/>
  <c r="L406" i="282"/>
  <c r="O330" i="282"/>
  <c r="L419" i="282"/>
  <c r="O278" i="282"/>
  <c r="O419" i="282" s="1"/>
  <c r="L296" i="282"/>
  <c r="O138" i="282"/>
  <c r="O146" i="282" s="1"/>
  <c r="L146" i="282"/>
  <c r="O311" i="282"/>
  <c r="L317" i="282"/>
  <c r="L270" i="282"/>
  <c r="O261" i="282"/>
  <c r="O270" i="282" s="1"/>
  <c r="O331" i="282"/>
  <c r="L217" i="282"/>
  <c r="O210" i="282"/>
  <c r="O217" i="282" s="1"/>
  <c r="O188" i="282"/>
  <c r="O196" i="282" s="1"/>
  <c r="L196" i="282"/>
  <c r="O151" i="282"/>
  <c r="O159" i="282" s="1"/>
  <c r="L159" i="282"/>
  <c r="O92" i="282"/>
  <c r="O100" i="282" s="1"/>
  <c r="L100" i="282"/>
  <c r="L28" i="282"/>
  <c r="O19" i="282"/>
  <c r="O31" i="282"/>
  <c r="L40" i="282"/>
  <c r="L438" i="282"/>
  <c r="O403" i="282"/>
  <c r="O438" i="282" s="1"/>
  <c r="L269" i="282"/>
  <c r="O260" i="282"/>
  <c r="K441" i="282"/>
  <c r="L208" i="282"/>
  <c r="O201" i="282"/>
  <c r="O208" i="282" s="1"/>
  <c r="O150" i="282"/>
  <c r="O158" i="282" s="1"/>
  <c r="L158" i="282"/>
  <c r="O106" i="282"/>
  <c r="O113" i="282" s="1"/>
  <c r="L113" i="282"/>
  <c r="O45" i="282"/>
  <c r="O53" i="282" s="1"/>
  <c r="L53" i="282"/>
  <c r="L417" i="282"/>
  <c r="O37" i="282"/>
  <c r="O417" i="282" s="1"/>
  <c r="D392" i="282"/>
  <c r="D410" i="282" s="1"/>
  <c r="L414" i="282"/>
  <c r="O22" i="282"/>
  <c r="O414" i="282" s="1"/>
  <c r="O17" i="282"/>
  <c r="L26" i="282"/>
  <c r="L29" i="282" s="1"/>
  <c r="O426" i="282"/>
  <c r="L411" i="282"/>
  <c r="L42" i="282"/>
  <c r="O33" i="282"/>
  <c r="O42" i="282" s="1"/>
  <c r="K244" i="282"/>
  <c r="K392" i="282" s="1"/>
  <c r="K410" i="282" s="1"/>
  <c r="O375" i="282"/>
  <c r="O389" i="282" s="1"/>
  <c r="L389" i="282"/>
  <c r="L390" i="282"/>
  <c r="O376" i="282"/>
  <c r="O352" i="282"/>
  <c r="O359" i="282" s="1"/>
  <c r="L359" i="282"/>
  <c r="L350" i="282"/>
  <c r="O336" i="282"/>
  <c r="O350" i="282" s="1"/>
  <c r="L421" i="282"/>
  <c r="O342" i="282"/>
  <c r="O421" i="282" s="1"/>
  <c r="O310" i="282"/>
  <c r="L316" i="282"/>
  <c r="O343" i="282"/>
  <c r="O422" i="282" s="1"/>
  <c r="L422" i="282"/>
  <c r="L416" i="282"/>
  <c r="O291" i="282"/>
  <c r="O416" i="282" s="1"/>
  <c r="L242" i="282"/>
  <c r="O235" i="282"/>
  <c r="O242" i="282" s="1"/>
  <c r="L231" i="282"/>
  <c r="O223" i="282"/>
  <c r="O374" i="282"/>
  <c r="L388" i="282"/>
  <c r="O397" i="282"/>
  <c r="L409" i="282"/>
  <c r="L444" i="282" s="1"/>
  <c r="O405" i="282"/>
  <c r="O440" i="282" s="1"/>
  <c r="L440" i="282"/>
  <c r="L268" i="282"/>
  <c r="L284" i="282" s="1"/>
  <c r="O263" i="282"/>
  <c r="O268" i="282" s="1"/>
  <c r="L418" i="282"/>
  <c r="O340" i="282"/>
  <c r="O418" i="282" s="1"/>
  <c r="L428" i="282"/>
  <c r="O228" i="282"/>
  <c r="O428" i="282" s="1"/>
  <c r="O276" i="282"/>
  <c r="O282" i="282" s="1"/>
  <c r="L282" i="282"/>
  <c r="O233" i="282"/>
  <c r="O240" i="282" s="1"/>
  <c r="L240" i="282"/>
  <c r="J441" i="282"/>
  <c r="L207" i="282"/>
  <c r="O200" i="282"/>
  <c r="O207" i="282" s="1"/>
  <c r="O105" i="282"/>
  <c r="O112" i="282" s="1"/>
  <c r="L112" i="282"/>
  <c r="O44" i="282"/>
  <c r="O52" i="282" s="1"/>
  <c r="L52" i="282"/>
  <c r="L90" i="282"/>
  <c r="O82" i="282"/>
  <c r="O90" i="282" s="1"/>
  <c r="L426" i="282"/>
  <c r="L41" i="282"/>
  <c r="O15" i="282"/>
  <c r="L420" i="282"/>
  <c r="O341" i="282"/>
  <c r="O420" i="282" s="1"/>
  <c r="L434" i="282"/>
  <c r="O315" i="282"/>
  <c r="O434" i="282" s="1"/>
  <c r="O187" i="282"/>
  <c r="O195" i="282" s="1"/>
  <c r="L195" i="282"/>
  <c r="L206" i="282"/>
  <c r="O199" i="282"/>
  <c r="O206" i="282" s="1"/>
  <c r="O80" i="282"/>
  <c r="O88" i="282" s="1"/>
  <c r="L88" i="282"/>
  <c r="L429" i="282"/>
  <c r="O25" i="282"/>
  <c r="O429" i="282" s="1"/>
  <c r="O13" i="282"/>
  <c r="L413" i="282"/>
  <c r="O41" i="282"/>
  <c r="H44" i="285"/>
  <c r="G42" i="285"/>
  <c r="H41" i="285"/>
  <c r="H40" i="285"/>
  <c r="H39" i="285"/>
  <c r="H38" i="285"/>
  <c r="H37" i="285"/>
  <c r="H36" i="285"/>
  <c r="H35" i="285"/>
  <c r="H42" i="285" s="1"/>
  <c r="H34" i="285"/>
  <c r="G33" i="285"/>
  <c r="G43" i="285" s="1"/>
  <c r="G45" i="285" s="1"/>
  <c r="H32" i="285"/>
  <c r="H31" i="285"/>
  <c r="H30" i="285"/>
  <c r="H33" i="285" s="1"/>
  <c r="G28" i="285"/>
  <c r="H27" i="285"/>
  <c r="H26" i="285"/>
  <c r="H25" i="285"/>
  <c r="H24" i="285"/>
  <c r="H23" i="285"/>
  <c r="H22" i="285"/>
  <c r="H21" i="285"/>
  <c r="H20" i="285"/>
  <c r="H19" i="285"/>
  <c r="H18" i="285"/>
  <c r="H17" i="285"/>
  <c r="H16" i="285"/>
  <c r="H28" i="285" s="1"/>
  <c r="H29" i="285" s="1"/>
  <c r="H43" i="285" s="1"/>
  <c r="H45" i="285" s="1"/>
  <c r="G15" i="285"/>
  <c r="H14" i="285"/>
  <c r="H13" i="285"/>
  <c r="H12" i="285"/>
  <c r="H11" i="285"/>
  <c r="H10" i="285"/>
  <c r="H9" i="285"/>
  <c r="H15" i="285" s="1"/>
  <c r="G8" i="285"/>
  <c r="H7" i="285"/>
  <c r="H6" i="285"/>
  <c r="H8" i="285" s="1"/>
  <c r="O390" i="282" l="1"/>
  <c r="O307" i="282"/>
  <c r="O308" i="282"/>
  <c r="O413" i="282"/>
  <c r="O296" i="282"/>
  <c r="O388" i="282"/>
  <c r="O27" i="282"/>
  <c r="L443" i="282"/>
  <c r="L442" i="282"/>
  <c r="O284" i="282"/>
  <c r="O372" i="282"/>
  <c r="O295" i="282"/>
  <c r="O281" i="282"/>
  <c r="O407" i="282"/>
  <c r="O371" i="282"/>
  <c r="O229" i="282"/>
  <c r="O348" i="282"/>
  <c r="O409" i="282"/>
  <c r="O444" i="282" s="1"/>
  <c r="L391" i="282"/>
  <c r="O26" i="282"/>
  <c r="O29" i="282" s="1"/>
  <c r="O269" i="282"/>
  <c r="O28" i="282"/>
  <c r="O408" i="282"/>
  <c r="O316" i="282"/>
  <c r="L441" i="282"/>
  <c r="O406" i="282"/>
  <c r="O411" i="282"/>
  <c r="O441" i="282" s="1"/>
  <c r="L243" i="282"/>
  <c r="L103" i="282"/>
  <c r="O243" i="282"/>
  <c r="O231" i="282"/>
  <c r="O40" i="282"/>
  <c r="O103" i="282" s="1"/>
  <c r="O317" i="282"/>
  <c r="O349" i="282"/>
  <c r="E26" i="253"/>
  <c r="E18" i="253"/>
  <c r="E17" i="253"/>
  <c r="E8" i="253"/>
  <c r="E6" i="253"/>
  <c r="B17" i="253"/>
  <c r="B28" i="253"/>
  <c r="B27" i="253"/>
  <c r="B26" i="253"/>
  <c r="B9" i="253"/>
  <c r="H5" i="233"/>
  <c r="H9" i="233"/>
  <c r="G254" i="233"/>
  <c r="H254" i="233"/>
  <c r="H252" i="233"/>
  <c r="G252" i="233"/>
  <c r="H247" i="233"/>
  <c r="G246" i="233"/>
  <c r="H245" i="233"/>
  <c r="H244" i="233"/>
  <c r="H238" i="233"/>
  <c r="H126" i="233"/>
  <c r="G126" i="233"/>
  <c r="D126" i="233"/>
  <c r="G81" i="233"/>
  <c r="G74" i="233"/>
  <c r="D74" i="233"/>
  <c r="G71" i="233"/>
  <c r="D96" i="257"/>
  <c r="G70" i="233"/>
  <c r="G69" i="233"/>
  <c r="G58" i="233"/>
  <c r="G56" i="233"/>
  <c r="G55" i="233"/>
  <c r="O391" i="282" l="1"/>
  <c r="L244" i="282"/>
  <c r="L392" i="282" s="1"/>
  <c r="L410" i="282" s="1"/>
  <c r="O442" i="282"/>
  <c r="O443" i="282"/>
  <c r="O244" i="282"/>
  <c r="O392" i="282" s="1"/>
  <c r="O410" i="282" s="1"/>
  <c r="H17" i="240"/>
  <c r="G16" i="240"/>
  <c r="H15" i="240"/>
  <c r="G15" i="240"/>
  <c r="G13" i="240"/>
  <c r="H11" i="240"/>
  <c r="G11" i="240"/>
  <c r="H10" i="240"/>
  <c r="G10" i="240"/>
  <c r="H9" i="240"/>
  <c r="G9" i="240"/>
  <c r="O214" i="244"/>
  <c r="P214" i="244" s="1"/>
  <c r="L108" i="244" l="1"/>
  <c r="H108" i="244"/>
  <c r="G10" i="233"/>
  <c r="D10" i="233"/>
  <c r="E47" i="233"/>
  <c r="L22" i="244"/>
  <c r="H22" i="244"/>
  <c r="L93" i="244"/>
  <c r="H93" i="244"/>
  <c r="G14" i="287"/>
  <c r="H16" i="287"/>
  <c r="E16" i="287"/>
  <c r="J16" i="287"/>
  <c r="T16" i="287" s="1"/>
  <c r="M16" i="287"/>
  <c r="O16" i="287"/>
  <c r="R16" i="287"/>
  <c r="U16" i="287"/>
  <c r="O26" i="287"/>
  <c r="R26" i="287"/>
  <c r="U26" i="287" s="1"/>
  <c r="M26" i="287"/>
  <c r="J26" i="287"/>
  <c r="T26" i="287" s="1"/>
  <c r="H26" i="287"/>
  <c r="E26" i="287"/>
  <c r="D118" i="257"/>
  <c r="O265" i="244"/>
  <c r="P265" i="244" s="1"/>
  <c r="S26" i="287" l="1"/>
  <c r="P108" i="244"/>
  <c r="P93" i="244"/>
  <c r="P22" i="244"/>
  <c r="S16" i="287"/>
  <c r="O25" i="287"/>
  <c r="U25" i="287" s="1"/>
  <c r="R25" i="287"/>
  <c r="J25" i="287"/>
  <c r="T25" i="287" s="1"/>
  <c r="M25" i="287"/>
  <c r="H25" i="287"/>
  <c r="S25" i="287" s="1"/>
  <c r="E25" i="287"/>
  <c r="N237" i="244"/>
  <c r="L117" i="244"/>
  <c r="H117" i="244"/>
  <c r="H92" i="244"/>
  <c r="L92" i="244"/>
  <c r="H89" i="244"/>
  <c r="H90" i="244"/>
  <c r="H91" i="244"/>
  <c r="L90" i="244"/>
  <c r="L91" i="244"/>
  <c r="P91" i="244" l="1"/>
  <c r="P117" i="244"/>
  <c r="P90" i="244"/>
  <c r="P92" i="244"/>
  <c r="L69" i="244"/>
  <c r="L70" i="244"/>
  <c r="H69" i="244"/>
  <c r="H70" i="244"/>
  <c r="L84" i="244"/>
  <c r="H84" i="244"/>
  <c r="L89" i="244"/>
  <c r="P89" i="244" s="1"/>
  <c r="L104" i="244"/>
  <c r="L105" i="244"/>
  <c r="H104" i="244"/>
  <c r="H105" i="244"/>
  <c r="C122" i="257"/>
  <c r="B122" i="257"/>
  <c r="D119" i="257"/>
  <c r="D116" i="257"/>
  <c r="D111" i="257"/>
  <c r="P105" i="244" l="1"/>
  <c r="P70" i="244"/>
  <c r="P104" i="244"/>
  <c r="P84" i="244"/>
  <c r="P69" i="244"/>
  <c r="O260" i="244"/>
  <c r="P260" i="244" s="1"/>
  <c r="O251" i="244"/>
  <c r="P251" i="244" s="1"/>
  <c r="L142" i="244"/>
  <c r="H142" i="244"/>
  <c r="L141" i="244"/>
  <c r="H141" i="244"/>
  <c r="L140" i="244"/>
  <c r="H140" i="244"/>
  <c r="L139" i="244"/>
  <c r="H139" i="244"/>
  <c r="H179" i="244"/>
  <c r="L179" i="244"/>
  <c r="G193" i="233"/>
  <c r="G191" i="233"/>
  <c r="D191" i="233"/>
  <c r="L166" i="244"/>
  <c r="H166" i="244"/>
  <c r="E46" i="233"/>
  <c r="G149" i="233"/>
  <c r="L58" i="244"/>
  <c r="H58" i="244"/>
  <c r="L51" i="244"/>
  <c r="H51" i="244"/>
  <c r="G57" i="233"/>
  <c r="G62" i="233"/>
  <c r="L27" i="244"/>
  <c r="H27" i="244"/>
  <c r="E26" i="233"/>
  <c r="P51" i="244" l="1"/>
  <c r="P27" i="244"/>
  <c r="P139" i="244"/>
  <c r="P141" i="244"/>
  <c r="P179" i="244"/>
  <c r="P142" i="244"/>
  <c r="P140" i="244"/>
  <c r="P166" i="244"/>
  <c r="P58" i="244"/>
  <c r="O237" i="244"/>
  <c r="P237" i="244" s="1"/>
  <c r="H178" i="244" l="1"/>
  <c r="L178" i="244"/>
  <c r="E196" i="233"/>
  <c r="E225" i="233"/>
  <c r="P178" i="244" l="1"/>
  <c r="H26" i="244"/>
  <c r="L26" i="244"/>
  <c r="P26" i="244" l="1"/>
  <c r="H159" i="244"/>
  <c r="L159" i="244"/>
  <c r="H184" i="233"/>
  <c r="H237" i="233"/>
  <c r="L42" i="244"/>
  <c r="H42" i="244"/>
  <c r="H195" i="244"/>
  <c r="L195" i="244"/>
  <c r="P159" i="244" l="1"/>
  <c r="P195" i="244"/>
  <c r="P42" i="244"/>
  <c r="O249" i="244" l="1"/>
  <c r="P249" i="244" s="1"/>
  <c r="L129" i="244"/>
  <c r="H129" i="244"/>
  <c r="H32" i="244"/>
  <c r="L32" i="244"/>
  <c r="H33" i="244"/>
  <c r="L33" i="244"/>
  <c r="H17" i="244"/>
  <c r="L17" i="244"/>
  <c r="D114" i="257"/>
  <c r="L87" i="244"/>
  <c r="H87" i="244"/>
  <c r="L88" i="244"/>
  <c r="L86" i="244"/>
  <c r="L85" i="244"/>
  <c r="H88" i="244"/>
  <c r="H86" i="244"/>
  <c r="H85" i="244"/>
  <c r="Q30" i="287"/>
  <c r="P30" i="287"/>
  <c r="N30" i="287"/>
  <c r="L30" i="287"/>
  <c r="K30" i="287"/>
  <c r="I30" i="287"/>
  <c r="F30" i="287"/>
  <c r="D30" i="287"/>
  <c r="R29" i="287"/>
  <c r="O29" i="287"/>
  <c r="M29" i="287"/>
  <c r="J29" i="287"/>
  <c r="H29" i="287"/>
  <c r="E29" i="287"/>
  <c r="R28" i="287"/>
  <c r="O28" i="287"/>
  <c r="M28" i="287"/>
  <c r="J28" i="287"/>
  <c r="H28" i="287"/>
  <c r="E28" i="287"/>
  <c r="R27" i="287"/>
  <c r="O27" i="287"/>
  <c r="M27" i="287"/>
  <c r="J27" i="287"/>
  <c r="H27" i="287"/>
  <c r="E27" i="287"/>
  <c r="R24" i="287"/>
  <c r="O24" i="287"/>
  <c r="M24" i="287"/>
  <c r="J24" i="287"/>
  <c r="H24" i="287"/>
  <c r="E24" i="287"/>
  <c r="R23" i="287"/>
  <c r="O23" i="287"/>
  <c r="M23" i="287"/>
  <c r="J23" i="287"/>
  <c r="H23" i="287"/>
  <c r="E23" i="287"/>
  <c r="R22" i="287"/>
  <c r="O22" i="287"/>
  <c r="M22" i="287"/>
  <c r="J22" i="287"/>
  <c r="H22" i="287"/>
  <c r="E22" i="287"/>
  <c r="R21" i="287"/>
  <c r="O21" i="287"/>
  <c r="M21" i="287"/>
  <c r="T21" i="287" s="1"/>
  <c r="J21" i="287"/>
  <c r="H21" i="287"/>
  <c r="E21" i="287"/>
  <c r="R20" i="287"/>
  <c r="O20" i="287"/>
  <c r="M20" i="287"/>
  <c r="J20" i="287"/>
  <c r="H20" i="287"/>
  <c r="E20" i="287"/>
  <c r="R19" i="287"/>
  <c r="O19" i="287"/>
  <c r="M19" i="287"/>
  <c r="T19" i="287" s="1"/>
  <c r="J19" i="287"/>
  <c r="H19" i="287"/>
  <c r="E19" i="287"/>
  <c r="R18" i="287"/>
  <c r="O18" i="287"/>
  <c r="M18" i="287"/>
  <c r="J18" i="287"/>
  <c r="H18" i="287"/>
  <c r="E18" i="287"/>
  <c r="R17" i="287"/>
  <c r="O17" i="287"/>
  <c r="M17" i="287"/>
  <c r="T17" i="287" s="1"/>
  <c r="J17" i="287"/>
  <c r="H17" i="287"/>
  <c r="E17" i="287"/>
  <c r="R15" i="287"/>
  <c r="O15" i="287"/>
  <c r="M15" i="287"/>
  <c r="J15" i="287"/>
  <c r="H15" i="287"/>
  <c r="E15" i="287"/>
  <c r="R14" i="287"/>
  <c r="O14" i="287"/>
  <c r="M14" i="287"/>
  <c r="T14" i="287" s="1"/>
  <c r="J14" i="287"/>
  <c r="H14" i="287"/>
  <c r="G30" i="287"/>
  <c r="E14" i="287"/>
  <c r="R13" i="287"/>
  <c r="O13" i="287"/>
  <c r="U13" i="287" s="1"/>
  <c r="M13" i="287"/>
  <c r="J13" i="287"/>
  <c r="H13" i="287"/>
  <c r="E13" i="287"/>
  <c r="S13" i="287" s="1"/>
  <c r="R12" i="287"/>
  <c r="O12" i="287"/>
  <c r="M12" i="287"/>
  <c r="J12" i="287"/>
  <c r="T12" i="287" s="1"/>
  <c r="H12" i="287"/>
  <c r="E12" i="287"/>
  <c r="R11" i="287"/>
  <c r="O11" i="287"/>
  <c r="U11" i="287" s="1"/>
  <c r="M11" i="287"/>
  <c r="J11" i="287"/>
  <c r="H11" i="287"/>
  <c r="E11" i="287"/>
  <c r="S11" i="287" s="1"/>
  <c r="R10" i="287"/>
  <c r="O10" i="287"/>
  <c r="M10" i="287"/>
  <c r="J10" i="287"/>
  <c r="T10" i="287" s="1"/>
  <c r="H10" i="287"/>
  <c r="E10" i="287"/>
  <c r="R9" i="287"/>
  <c r="O9" i="287"/>
  <c r="M9" i="287"/>
  <c r="J9" i="287"/>
  <c r="H9" i="287"/>
  <c r="E9" i="287"/>
  <c r="E30" i="287" l="1"/>
  <c r="S19" i="287"/>
  <c r="T24" i="287"/>
  <c r="T28" i="287"/>
  <c r="O30" i="287"/>
  <c r="S10" i="287"/>
  <c r="U10" i="287"/>
  <c r="S12" i="287"/>
  <c r="U12" i="287"/>
  <c r="J30" i="287"/>
  <c r="P129" i="244"/>
  <c r="P32" i="244"/>
  <c r="P33" i="244"/>
  <c r="P87" i="244"/>
  <c r="P88" i="244"/>
  <c r="P17" i="244"/>
  <c r="P85" i="244"/>
  <c r="P86" i="244"/>
  <c r="S14" i="287"/>
  <c r="M30" i="287"/>
  <c r="T11" i="287"/>
  <c r="T13" i="287"/>
  <c r="U14" i="287"/>
  <c r="T15" i="287"/>
  <c r="S17" i="287"/>
  <c r="U17" i="287"/>
  <c r="T18" i="287"/>
  <c r="U19" i="287"/>
  <c r="T20" i="287"/>
  <c r="S21" i="287"/>
  <c r="U21" i="287"/>
  <c r="T22" i="287"/>
  <c r="U23" i="287"/>
  <c r="S27" i="287"/>
  <c r="U27" i="287"/>
  <c r="S29" i="287"/>
  <c r="U29" i="287"/>
  <c r="R30" i="287"/>
  <c r="S15" i="287"/>
  <c r="U15" i="287"/>
  <c r="S18" i="287"/>
  <c r="U18" i="287"/>
  <c r="S20" i="287"/>
  <c r="U20" i="287"/>
  <c r="S22" i="287"/>
  <c r="U22" i="287"/>
  <c r="T23" i="287"/>
  <c r="S24" i="287"/>
  <c r="U24" i="287"/>
  <c r="T27" i="287"/>
  <c r="S28" i="287"/>
  <c r="U28" i="287"/>
  <c r="T29" i="287"/>
  <c r="S23" i="287"/>
  <c r="H30" i="287"/>
  <c r="U9" i="287"/>
  <c r="S9" i="287"/>
  <c r="T9" i="287"/>
  <c r="U30" i="287" l="1"/>
  <c r="T30" i="287"/>
  <c r="S30" i="287"/>
  <c r="O211" i="244"/>
  <c r="P211" i="244" s="1"/>
  <c r="G75" i="233"/>
  <c r="E77" i="233"/>
  <c r="O250" i="244"/>
  <c r="P250" i="244" s="1"/>
  <c r="G114" i="233"/>
  <c r="O255" i="244"/>
  <c r="P255" i="244" s="1"/>
  <c r="O245" i="244"/>
  <c r="P245" i="244" s="1"/>
  <c r="O244" i="244"/>
  <c r="P244" i="244" s="1"/>
  <c r="D75" i="281"/>
  <c r="C75" i="281"/>
  <c r="E74" i="281"/>
  <c r="E75" i="281" s="1"/>
  <c r="D72" i="281"/>
  <c r="C72" i="281"/>
  <c r="E71" i="281"/>
  <c r="E72" i="281" s="1"/>
  <c r="O243" i="244"/>
  <c r="P243" i="244" s="1"/>
  <c r="C57" i="281"/>
  <c r="D57" i="281"/>
  <c r="E56" i="281"/>
  <c r="L78" i="244"/>
  <c r="L79" i="244"/>
  <c r="L80" i="244"/>
  <c r="H78" i="244"/>
  <c r="H79" i="244"/>
  <c r="H80" i="244"/>
  <c r="D95" i="257"/>
  <c r="O242" i="244"/>
  <c r="P242" i="244" s="1"/>
  <c r="L114" i="244"/>
  <c r="H114" i="244"/>
  <c r="G72" i="233"/>
  <c r="E186" i="233"/>
  <c r="P78" i="244" l="1"/>
  <c r="P114" i="244"/>
  <c r="P79" i="244"/>
  <c r="P80" i="244"/>
  <c r="G169" i="233"/>
  <c r="E224" i="233"/>
  <c r="E223" i="233"/>
  <c r="N267" i="244"/>
  <c r="H177" i="244"/>
  <c r="L177" i="244"/>
  <c r="G195" i="233"/>
  <c r="G200" i="233"/>
  <c r="E199" i="233"/>
  <c r="E40" i="233"/>
  <c r="P177" i="244" l="1"/>
  <c r="O248" i="244"/>
  <c r="P248" i="244" s="1"/>
  <c r="L113" i="244"/>
  <c r="H113" i="244"/>
  <c r="D94" i="257"/>
  <c r="O254" i="244"/>
  <c r="P254" i="244" s="1"/>
  <c r="L112" i="244"/>
  <c r="H112" i="244"/>
  <c r="O253" i="244"/>
  <c r="P253" i="244" s="1"/>
  <c r="G146" i="233"/>
  <c r="C78" i="281"/>
  <c r="D78" i="281"/>
  <c r="E77" i="281"/>
  <c r="E78" i="281" s="1"/>
  <c r="O252" i="244"/>
  <c r="P252" i="244" s="1"/>
  <c r="L77" i="244"/>
  <c r="H77" i="244"/>
  <c r="O247" i="244"/>
  <c r="P247" i="244" s="1"/>
  <c r="H47" i="244"/>
  <c r="L47" i="244"/>
  <c r="P47" i="244" l="1"/>
  <c r="P77" i="244"/>
  <c r="P113" i="244"/>
  <c r="P112" i="244"/>
  <c r="D81" i="257" l="1"/>
  <c r="L73" i="244"/>
  <c r="H73" i="244"/>
  <c r="L99" i="244"/>
  <c r="H99" i="244"/>
  <c r="D93" i="257"/>
  <c r="L98" i="244"/>
  <c r="L97" i="244"/>
  <c r="L96" i="244"/>
  <c r="H98" i="244"/>
  <c r="H97" i="244"/>
  <c r="H96" i="244"/>
  <c r="P73" i="244" l="1"/>
  <c r="P97" i="244"/>
  <c r="P99" i="244"/>
  <c r="P96" i="244"/>
  <c r="P98" i="244"/>
  <c r="D208" i="244"/>
  <c r="E208" i="244"/>
  <c r="F208" i="244"/>
  <c r="G208" i="244"/>
  <c r="I208" i="244"/>
  <c r="J208" i="244"/>
  <c r="K208" i="244"/>
  <c r="M208" i="244"/>
  <c r="N208" i="244"/>
  <c r="C208" i="244"/>
  <c r="O9" i="244"/>
  <c r="O10" i="244"/>
  <c r="O208" i="244" s="1"/>
  <c r="L10" i="244"/>
  <c r="H10" i="244"/>
  <c r="C9" i="233"/>
  <c r="B11" i="257"/>
  <c r="C66" i="257"/>
  <c r="B66" i="257"/>
  <c r="B55" i="257"/>
  <c r="P10" i="244" l="1"/>
  <c r="E15" i="285" l="1"/>
  <c r="F44" i="285"/>
  <c r="E42" i="285"/>
  <c r="D42" i="285"/>
  <c r="C42" i="285"/>
  <c r="B42" i="285"/>
  <c r="F41" i="285"/>
  <c r="F40" i="285"/>
  <c r="F39" i="285"/>
  <c r="F38" i="285"/>
  <c r="F37" i="285"/>
  <c r="F36" i="285"/>
  <c r="F35" i="285"/>
  <c r="F34" i="285"/>
  <c r="E33" i="285"/>
  <c r="D33" i="285"/>
  <c r="C33" i="285"/>
  <c r="B33" i="285"/>
  <c r="F32" i="285"/>
  <c r="F31" i="285"/>
  <c r="F30" i="285"/>
  <c r="E28" i="285"/>
  <c r="D28" i="285"/>
  <c r="C28" i="285"/>
  <c r="B28" i="285"/>
  <c r="F27" i="285"/>
  <c r="F26" i="285"/>
  <c r="F25" i="285"/>
  <c r="F24" i="285"/>
  <c r="F23" i="285"/>
  <c r="F22" i="285"/>
  <c r="F21" i="285"/>
  <c r="F20" i="285"/>
  <c r="F19" i="285"/>
  <c r="F18" i="285"/>
  <c r="F17" i="285"/>
  <c r="F16" i="285"/>
  <c r="D15" i="285"/>
  <c r="C15" i="285"/>
  <c r="B15" i="285"/>
  <c r="F14" i="285"/>
  <c r="F13" i="285"/>
  <c r="F12" i="285"/>
  <c r="F11" i="285"/>
  <c r="F10" i="285"/>
  <c r="F9" i="285"/>
  <c r="E8" i="285"/>
  <c r="D8" i="285"/>
  <c r="C8" i="285"/>
  <c r="B8" i="285"/>
  <c r="F7" i="285"/>
  <c r="F6" i="285"/>
  <c r="D29" i="285" l="1"/>
  <c r="F33" i="285"/>
  <c r="C29" i="285"/>
  <c r="C43" i="285" s="1"/>
  <c r="C45" i="285" s="1"/>
  <c r="F15" i="285"/>
  <c r="D43" i="285"/>
  <c r="D45" i="285" s="1"/>
  <c r="E29" i="285"/>
  <c r="E43" i="285" s="1"/>
  <c r="E45" i="285" s="1"/>
  <c r="F8" i="285"/>
  <c r="B29" i="285"/>
  <c r="B43" i="285" s="1"/>
  <c r="B45" i="285" s="1"/>
  <c r="F28" i="285"/>
  <c r="F42" i="285"/>
  <c r="F29" i="285" l="1"/>
  <c r="F43" i="285" s="1"/>
  <c r="F45" i="285" s="1"/>
  <c r="B33" i="253" l="1"/>
  <c r="E33" i="253"/>
  <c r="D54" i="257"/>
  <c r="O219" i="244"/>
  <c r="P219" i="244" s="1"/>
  <c r="L111" i="244"/>
  <c r="H111" i="244"/>
  <c r="E76" i="233"/>
  <c r="O228" i="244"/>
  <c r="P228" i="244" s="1"/>
  <c r="O229" i="244"/>
  <c r="P229" i="244" s="1"/>
  <c r="P111" i="244" l="1"/>
  <c r="E153" i="233" l="1"/>
  <c r="AG25" i="240"/>
  <c r="AF25" i="240"/>
  <c r="AE25" i="240"/>
  <c r="AC25" i="240"/>
  <c r="AB25" i="240"/>
  <c r="AA25" i="240"/>
  <c r="Y25" i="240"/>
  <c r="AK25" i="240" s="1"/>
  <c r="X25" i="240"/>
  <c r="W25" i="240"/>
  <c r="AI25" i="240" s="1"/>
  <c r="V25" i="240"/>
  <c r="R25" i="240"/>
  <c r="M25" i="240"/>
  <c r="L25" i="240"/>
  <c r="N25" i="240" s="1"/>
  <c r="K25" i="240"/>
  <c r="J25" i="240"/>
  <c r="F25" i="240"/>
  <c r="E27" i="253"/>
  <c r="K59" i="261"/>
  <c r="J59" i="261"/>
  <c r="I59" i="261"/>
  <c r="J58" i="261"/>
  <c r="I58" i="261"/>
  <c r="I60" i="261" s="1"/>
  <c r="H58" i="261"/>
  <c r="E58" i="261"/>
  <c r="G201" i="233"/>
  <c r="O241" i="244"/>
  <c r="P241" i="244" s="1"/>
  <c r="E251" i="233"/>
  <c r="G167" i="233"/>
  <c r="E176" i="233"/>
  <c r="H169" i="244"/>
  <c r="L169" i="244"/>
  <c r="E23" i="233"/>
  <c r="L171" i="244"/>
  <c r="H171" i="244"/>
  <c r="G237" i="233"/>
  <c r="L184" i="244"/>
  <c r="H184" i="244"/>
  <c r="L183" i="244"/>
  <c r="H183" i="244"/>
  <c r="E226" i="233"/>
  <c r="L170" i="244"/>
  <c r="H170" i="244"/>
  <c r="O226" i="244"/>
  <c r="P226" i="244" s="1"/>
  <c r="G123" i="233"/>
  <c r="O225" i="244"/>
  <c r="P225" i="244" s="1"/>
  <c r="O224" i="244"/>
  <c r="P224" i="244" s="1"/>
  <c r="E220" i="233"/>
  <c r="G50" i="233"/>
  <c r="O223" i="244"/>
  <c r="P223" i="244" s="1"/>
  <c r="H189" i="244"/>
  <c r="L189" i="244"/>
  <c r="O222" i="244"/>
  <c r="P222" i="244" s="1"/>
  <c r="E219" i="233"/>
  <c r="E218" i="233"/>
  <c r="G45" i="233"/>
  <c r="K58" i="261" l="1"/>
  <c r="K60" i="261" s="1"/>
  <c r="J60" i="261"/>
  <c r="AD25" i="240"/>
  <c r="P169" i="244"/>
  <c r="AH25" i="240"/>
  <c r="AJ25" i="240"/>
  <c r="Z25" i="240"/>
  <c r="AL25" i="240" s="1"/>
  <c r="P171" i="244"/>
  <c r="P170" i="244"/>
  <c r="P189" i="244"/>
  <c r="P183" i="244"/>
  <c r="P184" i="244"/>
  <c r="H188" i="244" l="1"/>
  <c r="L188" i="244"/>
  <c r="H175" i="244"/>
  <c r="L175" i="244"/>
  <c r="L176" i="244"/>
  <c r="H176" i="244"/>
  <c r="O238" i="244"/>
  <c r="P238" i="244" s="1"/>
  <c r="O220" i="244"/>
  <c r="P220" i="244" s="1"/>
  <c r="O240" i="244"/>
  <c r="P240" i="244" s="1"/>
  <c r="O221" i="244"/>
  <c r="P221" i="244" s="1"/>
  <c r="G209" i="233"/>
  <c r="L46" i="244"/>
  <c r="H46" i="244"/>
  <c r="P175" i="244" l="1"/>
  <c r="P188" i="244"/>
  <c r="P46" i="244"/>
  <c r="P176" i="244"/>
  <c r="O218" i="244" l="1"/>
  <c r="P218" i="244" s="1"/>
  <c r="L131" i="244"/>
  <c r="H131" i="244"/>
  <c r="O217" i="244"/>
  <c r="P217" i="244" s="1"/>
  <c r="L76" i="244"/>
  <c r="H76" i="244"/>
  <c r="C28" i="281"/>
  <c r="C107" i="281" s="1"/>
  <c r="D28" i="281"/>
  <c r="E27" i="281"/>
  <c r="E28" i="281" s="1"/>
  <c r="P131" i="244" l="1"/>
  <c r="P76" i="244"/>
  <c r="H229" i="233"/>
  <c r="G60" i="233"/>
  <c r="G7" i="233"/>
  <c r="D242" i="233"/>
  <c r="E254" i="233"/>
  <c r="G253" i="233"/>
  <c r="O263" i="244"/>
  <c r="P263" i="244" s="1"/>
  <c r="O262" i="244"/>
  <c r="P262" i="244" s="1"/>
  <c r="O259" i="244" l="1"/>
  <c r="P259" i="244" s="1"/>
  <c r="O258" i="244"/>
  <c r="P258" i="244" s="1"/>
  <c r="O257" i="244"/>
  <c r="P257" i="244" s="1"/>
  <c r="E122" i="233"/>
  <c r="H199" i="244" l="1"/>
  <c r="L199" i="244"/>
  <c r="H200" i="244"/>
  <c r="L200" i="244"/>
  <c r="H201" i="244"/>
  <c r="L201" i="244"/>
  <c r="H202" i="244"/>
  <c r="L202" i="244"/>
  <c r="H203" i="244"/>
  <c r="L203" i="244"/>
  <c r="L163" i="244"/>
  <c r="H163" i="244"/>
  <c r="L162" i="244"/>
  <c r="H162" i="244"/>
  <c r="H146" i="244"/>
  <c r="L146" i="244"/>
  <c r="L151" i="244"/>
  <c r="H151" i="244"/>
  <c r="L134" i="244"/>
  <c r="H134" i="244"/>
  <c r="L124" i="244"/>
  <c r="H124" i="244"/>
  <c r="L102" i="244"/>
  <c r="L103" i="244"/>
  <c r="H102" i="244"/>
  <c r="H103" i="244"/>
  <c r="L63" i="244"/>
  <c r="H63" i="244"/>
  <c r="L39" i="244"/>
  <c r="H39" i="244"/>
  <c r="L16" i="244"/>
  <c r="H16" i="244"/>
  <c r="H31" i="244"/>
  <c r="L31" i="244"/>
  <c r="D27" i="260"/>
  <c r="F27" i="260"/>
  <c r="G27" i="260"/>
  <c r="C27" i="260"/>
  <c r="J26" i="260"/>
  <c r="I26" i="260"/>
  <c r="E26" i="260"/>
  <c r="K26" i="260" s="1"/>
  <c r="C18" i="266" s="1"/>
  <c r="M267" i="244"/>
  <c r="M268" i="244" s="1"/>
  <c r="O210" i="244"/>
  <c r="P210" i="244" s="1"/>
  <c r="L130" i="244"/>
  <c r="H130" i="244"/>
  <c r="L120" i="244"/>
  <c r="H120" i="244"/>
  <c r="L55" i="244"/>
  <c r="H55" i="244"/>
  <c r="P124" i="244" l="1"/>
  <c r="P202" i="244"/>
  <c r="P200" i="244"/>
  <c r="P203" i="244"/>
  <c r="P201" i="244"/>
  <c r="P199" i="244"/>
  <c r="P55" i="244"/>
  <c r="P163" i="244"/>
  <c r="P39" i="244"/>
  <c r="P103" i="244"/>
  <c r="P162" i="244"/>
  <c r="P31" i="244"/>
  <c r="P63" i="244"/>
  <c r="P146" i="244"/>
  <c r="P151" i="244"/>
  <c r="P134" i="244"/>
  <c r="P102" i="244"/>
  <c r="P16" i="244"/>
  <c r="P130" i="244"/>
  <c r="P120" i="244"/>
  <c r="O234" i="244"/>
  <c r="P234" i="244" s="1"/>
  <c r="O235" i="244"/>
  <c r="P235" i="244" s="1"/>
  <c r="H204" i="244" l="1"/>
  <c r="L204" i="244"/>
  <c r="H205" i="244"/>
  <c r="L205" i="244"/>
  <c r="H206" i="244"/>
  <c r="L206" i="244"/>
  <c r="P206" i="244" l="1"/>
  <c r="P205" i="244"/>
  <c r="P204" i="244"/>
  <c r="E253" i="233" l="1"/>
  <c r="C242" i="233"/>
  <c r="C230" i="233"/>
  <c r="C229" i="233" s="1"/>
  <c r="C97" i="233"/>
  <c r="C80" i="233"/>
  <c r="C73" i="233"/>
  <c r="C68" i="233"/>
  <c r="C6" i="233"/>
  <c r="C5" i="233" s="1"/>
  <c r="F10" i="233"/>
  <c r="F7" i="233"/>
  <c r="F114" i="233"/>
  <c r="F126" i="233"/>
  <c r="F151" i="233"/>
  <c r="F70" i="233"/>
  <c r="E27" i="233"/>
  <c r="H188" i="233"/>
  <c r="C240" i="233" l="1"/>
  <c r="C259" i="233" s="1"/>
  <c r="L154" i="244"/>
  <c r="H154" i="244"/>
  <c r="P154" i="244" l="1"/>
  <c r="C13" i="281"/>
  <c r="B105" i="257"/>
  <c r="L9" i="244"/>
  <c r="H9" i="244"/>
  <c r="G27" i="240"/>
  <c r="H27" i="240"/>
  <c r="I27" i="240"/>
  <c r="O27" i="240"/>
  <c r="P27" i="240"/>
  <c r="Q27" i="240"/>
  <c r="S27" i="240"/>
  <c r="T27" i="240"/>
  <c r="U27" i="240"/>
  <c r="D27" i="240"/>
  <c r="E27" i="240"/>
  <c r="C27" i="240"/>
  <c r="P9" i="244" l="1"/>
  <c r="D92" i="257"/>
  <c r="O261" i="244"/>
  <c r="P261" i="244" s="1"/>
  <c r="E227" i="233" l="1"/>
  <c r="L187" i="244"/>
  <c r="H187" i="244"/>
  <c r="P227" i="244"/>
  <c r="W63" i="239"/>
  <c r="X63" i="239"/>
  <c r="Y63" i="239"/>
  <c r="V63" i="239"/>
  <c r="R63" i="239"/>
  <c r="I65" i="239"/>
  <c r="K63" i="239"/>
  <c r="L63" i="239"/>
  <c r="AJ63" i="239" s="1"/>
  <c r="M63" i="239"/>
  <c r="J63" i="239"/>
  <c r="F63" i="239"/>
  <c r="AF63" i="239"/>
  <c r="AE63" i="239"/>
  <c r="AB63" i="239"/>
  <c r="AA63" i="239"/>
  <c r="R26" i="240"/>
  <c r="V26" i="240"/>
  <c r="W26" i="240"/>
  <c r="X26" i="240"/>
  <c r="Y26" i="240"/>
  <c r="AA26" i="240"/>
  <c r="AB26" i="240"/>
  <c r="AC26" i="240"/>
  <c r="AE26" i="240"/>
  <c r="AF26" i="240"/>
  <c r="AG26" i="240"/>
  <c r="K26" i="240"/>
  <c r="L26" i="240"/>
  <c r="M26" i="240"/>
  <c r="AK26" i="240" s="1"/>
  <c r="H65" i="239"/>
  <c r="G65" i="239"/>
  <c r="J26" i="240"/>
  <c r="F26" i="240"/>
  <c r="I63" i="261"/>
  <c r="J63" i="261"/>
  <c r="E63" i="261"/>
  <c r="K63" i="261" s="1"/>
  <c r="C11" i="266" s="1"/>
  <c r="J24" i="260"/>
  <c r="J25" i="260"/>
  <c r="I25" i="260"/>
  <c r="I24" i="260"/>
  <c r="E25" i="260"/>
  <c r="K25" i="260" s="1"/>
  <c r="C17" i="266" s="1"/>
  <c r="E255" i="233"/>
  <c r="E252" i="233"/>
  <c r="O233" i="244"/>
  <c r="P233" i="244" s="1"/>
  <c r="Z26" i="240" l="1"/>
  <c r="Z63" i="239"/>
  <c r="AD63" i="239"/>
  <c r="AD26" i="240"/>
  <c r="AJ26" i="240"/>
  <c r="AH26" i="240"/>
  <c r="P187" i="244"/>
  <c r="N26" i="240"/>
  <c r="AH63" i="239"/>
  <c r="AI63" i="239"/>
  <c r="N63" i="239"/>
  <c r="AI26" i="240"/>
  <c r="AL26" i="240" l="1"/>
  <c r="AL63" i="239"/>
  <c r="B19" i="253"/>
  <c r="H242" i="233" l="1"/>
  <c r="O266" i="244"/>
  <c r="P266" i="244" s="1"/>
  <c r="L25" i="244"/>
  <c r="H25" i="244"/>
  <c r="L194" i="244"/>
  <c r="H194" i="244"/>
  <c r="G151" i="233"/>
  <c r="E179" i="233"/>
  <c r="P194" i="244" l="1"/>
  <c r="P25" i="244"/>
  <c r="AE9" i="239" l="1"/>
  <c r="AG65" i="239"/>
  <c r="AF65" i="239"/>
  <c r="AE65" i="239"/>
  <c r="AF62" i="239"/>
  <c r="AH62" i="239" s="1"/>
  <c r="AE62" i="239"/>
  <c r="AG61" i="239"/>
  <c r="AF61" i="239"/>
  <c r="AK60" i="239"/>
  <c r="AG60" i="239"/>
  <c r="AF59" i="239"/>
  <c r="AE59" i="239"/>
  <c r="AF58" i="239"/>
  <c r="AE58" i="239"/>
  <c r="AG49" i="239"/>
  <c r="AF49" i="239"/>
  <c r="AE49" i="239"/>
  <c r="AG48" i="239"/>
  <c r="AF48" i="239"/>
  <c r="AE48" i="239"/>
  <c r="AG46" i="239"/>
  <c r="AG47" i="239" s="1"/>
  <c r="AF46" i="239"/>
  <c r="AF47" i="239" s="1"/>
  <c r="AE46" i="239"/>
  <c r="AE47" i="239" s="1"/>
  <c r="AG45" i="239"/>
  <c r="AF45" i="239"/>
  <c r="AE45" i="239"/>
  <c r="AG44" i="239"/>
  <c r="AF44" i="239"/>
  <c r="AE44" i="239"/>
  <c r="AG43" i="239"/>
  <c r="AF43" i="239"/>
  <c r="AE43" i="239"/>
  <c r="AG42" i="239"/>
  <c r="AF42" i="239"/>
  <c r="AE42" i="239"/>
  <c r="AG39" i="239"/>
  <c r="AF39" i="239"/>
  <c r="AE39" i="239"/>
  <c r="AG38" i="239"/>
  <c r="AF38" i="239"/>
  <c r="AE38" i="239"/>
  <c r="AG37" i="239"/>
  <c r="AF37" i="239"/>
  <c r="AE37" i="239"/>
  <c r="AG36" i="239"/>
  <c r="AF36" i="239"/>
  <c r="AE36" i="239"/>
  <c r="AG35" i="239"/>
  <c r="AF35" i="239"/>
  <c r="AE35" i="239"/>
  <c r="AG34" i="239"/>
  <c r="AF34" i="239"/>
  <c r="AE34" i="239"/>
  <c r="AG31" i="239"/>
  <c r="AF31" i="239"/>
  <c r="AE31" i="239"/>
  <c r="AG30" i="239"/>
  <c r="AF30" i="239"/>
  <c r="AF32" i="239" s="1"/>
  <c r="AE30" i="239"/>
  <c r="AG29" i="239"/>
  <c r="AF29" i="239"/>
  <c r="AE29" i="239"/>
  <c r="AG27" i="239"/>
  <c r="AG28" i="239" s="1"/>
  <c r="AF27" i="239"/>
  <c r="AF28" i="239" s="1"/>
  <c r="AE27" i="239"/>
  <c r="AE28" i="239" s="1"/>
  <c r="AG25" i="239"/>
  <c r="AG26" i="239" s="1"/>
  <c r="AF25" i="239"/>
  <c r="AF26" i="239" s="1"/>
  <c r="AE25" i="239"/>
  <c r="AE26" i="239" s="1"/>
  <c r="AG23" i="239"/>
  <c r="AG24" i="239" s="1"/>
  <c r="AF23" i="239"/>
  <c r="AF24" i="239" s="1"/>
  <c r="AE23" i="239"/>
  <c r="AE24" i="239" s="1"/>
  <c r="AG21" i="239"/>
  <c r="AF21" i="239"/>
  <c r="AE21" i="239"/>
  <c r="AG20" i="239"/>
  <c r="AF20" i="239"/>
  <c r="AE20" i="239"/>
  <c r="AG18" i="239"/>
  <c r="AF18" i="239"/>
  <c r="AE18" i="239"/>
  <c r="AG16" i="239"/>
  <c r="AF16" i="239"/>
  <c r="AE16" i="239"/>
  <c r="AG15" i="239"/>
  <c r="AF15" i="239"/>
  <c r="AE15" i="239"/>
  <c r="AG14" i="239"/>
  <c r="AF14" i="239"/>
  <c r="AE14" i="239"/>
  <c r="AG13" i="239"/>
  <c r="AF13" i="239"/>
  <c r="AE13" i="239"/>
  <c r="AG12" i="239"/>
  <c r="AF12" i="239"/>
  <c r="AE12" i="239"/>
  <c r="AG11" i="239"/>
  <c r="AF11" i="239"/>
  <c r="AE11" i="239"/>
  <c r="AG10" i="239"/>
  <c r="AF10" i="239"/>
  <c r="AF17" i="239" s="1"/>
  <c r="AE10" i="239"/>
  <c r="AG9" i="239"/>
  <c r="AG17" i="239" s="1"/>
  <c r="AG19" i="239" s="1"/>
  <c r="AF9" i="239"/>
  <c r="Y18" i="239"/>
  <c r="X18" i="239"/>
  <c r="W18" i="239"/>
  <c r="Y20" i="239"/>
  <c r="X20" i="239"/>
  <c r="W20" i="239"/>
  <c r="Y21" i="239"/>
  <c r="X21" i="239"/>
  <c r="W21" i="239"/>
  <c r="Y23" i="239"/>
  <c r="Y24" i="239" s="1"/>
  <c r="X23" i="239"/>
  <c r="Z23" i="239" s="1"/>
  <c r="Z24" i="239" s="1"/>
  <c r="W23" i="239"/>
  <c r="Y25" i="239"/>
  <c r="Y26" i="239" s="1"/>
  <c r="X25" i="239"/>
  <c r="W25" i="239"/>
  <c r="Y27" i="239"/>
  <c r="Y28" i="239" s="1"/>
  <c r="X27" i="239"/>
  <c r="Z27" i="239" s="1"/>
  <c r="Z28" i="239" s="1"/>
  <c r="W27" i="239"/>
  <c r="Y31" i="239"/>
  <c r="X31" i="239"/>
  <c r="W31" i="239"/>
  <c r="Y30" i="239"/>
  <c r="X30" i="239"/>
  <c r="W30" i="239"/>
  <c r="Y29" i="239"/>
  <c r="X29" i="239"/>
  <c r="W29" i="239"/>
  <c r="Z29" i="239" s="1"/>
  <c r="Y39" i="239"/>
  <c r="X39" i="239"/>
  <c r="W39" i="239"/>
  <c r="Y38" i="239"/>
  <c r="X38" i="239"/>
  <c r="W38" i="239"/>
  <c r="Y37" i="239"/>
  <c r="X37" i="239"/>
  <c r="W37" i="239"/>
  <c r="Y36" i="239"/>
  <c r="X36" i="239"/>
  <c r="W36" i="239"/>
  <c r="Z36" i="239" s="1"/>
  <c r="Y35" i="239"/>
  <c r="X35" i="239"/>
  <c r="W35" i="239"/>
  <c r="Y34" i="239"/>
  <c r="X34" i="239"/>
  <c r="W34" i="239"/>
  <c r="Y46" i="239"/>
  <c r="X46" i="239"/>
  <c r="X47" i="239" s="1"/>
  <c r="W46" i="239"/>
  <c r="Y45" i="239"/>
  <c r="X45" i="239"/>
  <c r="W45" i="239"/>
  <c r="Z45" i="239" s="1"/>
  <c r="Y44" i="239"/>
  <c r="Y43" i="239"/>
  <c r="X43" i="239"/>
  <c r="W43" i="239"/>
  <c r="Y42" i="239"/>
  <c r="X42" i="239"/>
  <c r="W42" i="239"/>
  <c r="Y49" i="239"/>
  <c r="X49" i="239"/>
  <c r="W49" i="239"/>
  <c r="Y48" i="239"/>
  <c r="X48" i="239"/>
  <c r="W48" i="239"/>
  <c r="Y65" i="239"/>
  <c r="X65" i="239"/>
  <c r="W65" i="239"/>
  <c r="Y62" i="239"/>
  <c r="X62" i="239"/>
  <c r="Z62" i="239" s="1"/>
  <c r="W62" i="239"/>
  <c r="Y61" i="239"/>
  <c r="X61" i="239"/>
  <c r="W61" i="239"/>
  <c r="W59" i="239"/>
  <c r="X59" i="239"/>
  <c r="Z59" i="239" s="1"/>
  <c r="Y59" i="239"/>
  <c r="Y58" i="239"/>
  <c r="X58" i="239"/>
  <c r="W58" i="239"/>
  <c r="W60" i="239" s="1"/>
  <c r="V65" i="239"/>
  <c r="V62" i="239"/>
  <c r="V61" i="239"/>
  <c r="S60" i="239"/>
  <c r="S64" i="239" s="1"/>
  <c r="T60" i="239"/>
  <c r="T64" i="239" s="1"/>
  <c r="U60" i="239"/>
  <c r="U64" i="239" s="1"/>
  <c r="V59" i="239"/>
  <c r="V58" i="239"/>
  <c r="V60" i="239" s="1"/>
  <c r="V49" i="239"/>
  <c r="V48" i="239"/>
  <c r="V44" i="239"/>
  <c r="V45" i="239"/>
  <c r="V46" i="239"/>
  <c r="V47" i="239" s="1"/>
  <c r="V43" i="239"/>
  <c r="V42" i="239"/>
  <c r="V35" i="239"/>
  <c r="V36" i="239"/>
  <c r="V37" i="239"/>
  <c r="V38" i="239"/>
  <c r="V39" i="239"/>
  <c r="V34" i="239"/>
  <c r="V31" i="239"/>
  <c r="V30" i="239"/>
  <c r="V29" i="239"/>
  <c r="V27" i="239"/>
  <c r="V25" i="239"/>
  <c r="V23" i="239"/>
  <c r="V21" i="239"/>
  <c r="V20" i="239"/>
  <c r="V18" i="239"/>
  <c r="S47" i="239"/>
  <c r="T47" i="239"/>
  <c r="U47" i="239"/>
  <c r="W47" i="239"/>
  <c r="Y47" i="239"/>
  <c r="S40" i="239"/>
  <c r="T40" i="239"/>
  <c r="U40" i="239"/>
  <c r="W40" i="239"/>
  <c r="S32" i="239"/>
  <c r="T32" i="239"/>
  <c r="T33" i="239" s="1"/>
  <c r="U32" i="239"/>
  <c r="U33" i="239" s="1"/>
  <c r="S28" i="239"/>
  <c r="S33" i="239" s="1"/>
  <c r="T28" i="239"/>
  <c r="U28" i="239"/>
  <c r="V28" i="239"/>
  <c r="W28" i="239"/>
  <c r="S26" i="239"/>
  <c r="T26" i="239"/>
  <c r="U26" i="239"/>
  <c r="V26" i="239"/>
  <c r="W26" i="239"/>
  <c r="S24" i="239"/>
  <c r="T24" i="239"/>
  <c r="U24" i="239"/>
  <c r="V24" i="239"/>
  <c r="W24" i="239"/>
  <c r="S22" i="239"/>
  <c r="T22" i="239"/>
  <c r="T51" i="239" s="1"/>
  <c r="U22" i="239"/>
  <c r="U51" i="239" s="1"/>
  <c r="X22" i="239"/>
  <c r="S17" i="239"/>
  <c r="S19" i="239" s="1"/>
  <c r="T17" i="239"/>
  <c r="T19" i="239" s="1"/>
  <c r="U17" i="239"/>
  <c r="U19" i="239" s="1"/>
  <c r="V17" i="239"/>
  <c r="W17" i="239"/>
  <c r="X17" i="239"/>
  <c r="X19" i="239" s="1"/>
  <c r="Y17" i="239"/>
  <c r="Z17" i="239"/>
  <c r="M65" i="239"/>
  <c r="AK65" i="239" s="1"/>
  <c r="L65" i="239"/>
  <c r="AJ65" i="239" s="1"/>
  <c r="K65" i="239"/>
  <c r="AI65" i="239" s="1"/>
  <c r="M62" i="239"/>
  <c r="L62" i="239"/>
  <c r="K62" i="239"/>
  <c r="AI62" i="239" s="1"/>
  <c r="M61" i="239"/>
  <c r="L61" i="239"/>
  <c r="K61" i="239"/>
  <c r="M59" i="239"/>
  <c r="L59" i="239"/>
  <c r="AJ59" i="239" s="1"/>
  <c r="K59" i="239"/>
  <c r="M58" i="239"/>
  <c r="L58" i="239"/>
  <c r="AJ58" i="239" s="1"/>
  <c r="K58" i="239"/>
  <c r="M49" i="239"/>
  <c r="L49" i="239"/>
  <c r="AJ49" i="239" s="1"/>
  <c r="K49" i="239"/>
  <c r="M48" i="239"/>
  <c r="L48" i="239"/>
  <c r="K48" i="239"/>
  <c r="AI48" i="239" s="1"/>
  <c r="M46" i="239"/>
  <c r="AK46" i="239" s="1"/>
  <c r="AK47" i="239" s="1"/>
  <c r="L46" i="239"/>
  <c r="K46" i="239"/>
  <c r="AI46" i="239" s="1"/>
  <c r="AI47" i="239" s="1"/>
  <c r="M45" i="239"/>
  <c r="L45" i="239"/>
  <c r="K45" i="239"/>
  <c r="M44" i="239"/>
  <c r="L44" i="239"/>
  <c r="K44" i="239"/>
  <c r="M43" i="239"/>
  <c r="L43" i="239"/>
  <c r="AJ43" i="239" s="1"/>
  <c r="K43" i="239"/>
  <c r="M42" i="239"/>
  <c r="L42" i="239"/>
  <c r="K42" i="239"/>
  <c r="M39" i="239"/>
  <c r="L39" i="239"/>
  <c r="K39" i="239"/>
  <c r="AI39" i="239" s="1"/>
  <c r="M38" i="239"/>
  <c r="L38" i="239"/>
  <c r="K38" i="239"/>
  <c r="M37" i="239"/>
  <c r="L37" i="239"/>
  <c r="K37" i="239"/>
  <c r="AI37" i="239" s="1"/>
  <c r="M36" i="239"/>
  <c r="L36" i="239"/>
  <c r="K36" i="239"/>
  <c r="M35" i="239"/>
  <c r="L35" i="239"/>
  <c r="K35" i="239"/>
  <c r="AI35" i="239" s="1"/>
  <c r="M34" i="239"/>
  <c r="L34" i="239"/>
  <c r="K34" i="239"/>
  <c r="M31" i="239"/>
  <c r="L31" i="239"/>
  <c r="AJ31" i="239" s="1"/>
  <c r="K31" i="239"/>
  <c r="M30" i="239"/>
  <c r="L30" i="239"/>
  <c r="K30" i="239"/>
  <c r="M29" i="239"/>
  <c r="L29" i="239"/>
  <c r="K29" i="239"/>
  <c r="M27" i="239"/>
  <c r="L27" i="239"/>
  <c r="K27" i="239"/>
  <c r="M25" i="239"/>
  <c r="L25" i="239"/>
  <c r="K25" i="239"/>
  <c r="M23" i="239"/>
  <c r="L23" i="239"/>
  <c r="K23" i="239"/>
  <c r="AI23" i="239" s="1"/>
  <c r="AI24" i="239" s="1"/>
  <c r="M21" i="239"/>
  <c r="AK21" i="239" s="1"/>
  <c r="L21" i="239"/>
  <c r="AJ21" i="239" s="1"/>
  <c r="K21" i="239"/>
  <c r="AI21" i="239" s="1"/>
  <c r="M20" i="239"/>
  <c r="AK20" i="239" s="1"/>
  <c r="L20" i="239"/>
  <c r="AJ20" i="239" s="1"/>
  <c r="K20" i="239"/>
  <c r="AI20" i="239" s="1"/>
  <c r="M18" i="239"/>
  <c r="AK18" i="239" s="1"/>
  <c r="L18" i="239"/>
  <c r="K18" i="239"/>
  <c r="K12" i="239"/>
  <c r="L12" i="239"/>
  <c r="AJ12" i="239" s="1"/>
  <c r="M12" i="239"/>
  <c r="AK12" i="239" s="1"/>
  <c r="K13" i="239"/>
  <c r="L13" i="239"/>
  <c r="AJ13" i="239" s="1"/>
  <c r="M13" i="239"/>
  <c r="AK13" i="239" s="1"/>
  <c r="K14" i="239"/>
  <c r="L14" i="239"/>
  <c r="AJ14" i="239" s="1"/>
  <c r="M14" i="239"/>
  <c r="AK14" i="239" s="1"/>
  <c r="K15" i="239"/>
  <c r="L15" i="239"/>
  <c r="AJ15" i="239" s="1"/>
  <c r="M15" i="239"/>
  <c r="AK15" i="239" s="1"/>
  <c r="K16" i="239"/>
  <c r="L16" i="239"/>
  <c r="AJ16" i="239" s="1"/>
  <c r="M16" i="239"/>
  <c r="AK16" i="239" s="1"/>
  <c r="K10" i="239"/>
  <c r="L10" i="239"/>
  <c r="AJ10" i="239" s="1"/>
  <c r="M10" i="239"/>
  <c r="AK10" i="239" s="1"/>
  <c r="K11" i="239"/>
  <c r="AI11" i="239" s="1"/>
  <c r="L11" i="239"/>
  <c r="AJ11" i="239" s="1"/>
  <c r="M11" i="239"/>
  <c r="AK11" i="239" s="1"/>
  <c r="L9" i="239"/>
  <c r="AJ9" i="239" s="1"/>
  <c r="M9" i="239"/>
  <c r="AK9" i="239" s="1"/>
  <c r="K9" i="239"/>
  <c r="AI9" i="239" s="1"/>
  <c r="J65" i="239"/>
  <c r="J62" i="239"/>
  <c r="J61" i="239"/>
  <c r="G60" i="239"/>
  <c r="G64" i="239" s="1"/>
  <c r="H60" i="239"/>
  <c r="H64" i="239" s="1"/>
  <c r="I60" i="239"/>
  <c r="I64" i="239" s="1"/>
  <c r="J59" i="239"/>
  <c r="J58" i="239"/>
  <c r="J49" i="239"/>
  <c r="AH49" i="239" s="1"/>
  <c r="J48" i="239"/>
  <c r="AH48" i="239" s="1"/>
  <c r="J44" i="239"/>
  <c r="J45" i="239"/>
  <c r="J46" i="239"/>
  <c r="AH46" i="239" s="1"/>
  <c r="AH47" i="239" s="1"/>
  <c r="J43" i="239"/>
  <c r="J42" i="239"/>
  <c r="J36" i="239"/>
  <c r="J37" i="239"/>
  <c r="J38" i="239"/>
  <c r="J39" i="239"/>
  <c r="J35" i="239"/>
  <c r="J34" i="239"/>
  <c r="J31" i="239"/>
  <c r="J30" i="239"/>
  <c r="J29" i="239"/>
  <c r="J27" i="239"/>
  <c r="J25" i="239"/>
  <c r="J23" i="239"/>
  <c r="J21" i="239"/>
  <c r="AH21" i="239" s="1"/>
  <c r="J20" i="239"/>
  <c r="AH20" i="239" s="1"/>
  <c r="J18" i="239"/>
  <c r="J11" i="239"/>
  <c r="J12" i="239"/>
  <c r="AH12" i="239" s="1"/>
  <c r="J13" i="239"/>
  <c r="AH13" i="239" s="1"/>
  <c r="J14" i="239"/>
  <c r="AH14" i="239" s="1"/>
  <c r="J15" i="239"/>
  <c r="AH15" i="239" s="1"/>
  <c r="J16" i="239"/>
  <c r="AH16" i="239" s="1"/>
  <c r="J10" i="239"/>
  <c r="J9" i="239"/>
  <c r="E150" i="233"/>
  <c r="D13" i="281"/>
  <c r="E12" i="281"/>
  <c r="E13" i="281" s="1"/>
  <c r="H68" i="244"/>
  <c r="L68" i="244"/>
  <c r="H68" i="233"/>
  <c r="D104" i="281"/>
  <c r="E103" i="281"/>
  <c r="E104" i="281" s="1"/>
  <c r="D101" i="281"/>
  <c r="E100" i="281"/>
  <c r="E101" i="281" s="1"/>
  <c r="D98" i="281"/>
  <c r="E97" i="281"/>
  <c r="E98" i="281" s="1"/>
  <c r="E94" i="281"/>
  <c r="E92" i="281"/>
  <c r="D90" i="281"/>
  <c r="E89" i="281"/>
  <c r="E90" i="281" s="1"/>
  <c r="E87" i="281"/>
  <c r="D85" i="281"/>
  <c r="E84" i="281"/>
  <c r="E85" i="281" s="1"/>
  <c r="D82" i="281"/>
  <c r="E81" i="281"/>
  <c r="E80" i="281"/>
  <c r="E82" i="281" s="1"/>
  <c r="D69" i="281"/>
  <c r="E68" i="281"/>
  <c r="E69" i="281" s="1"/>
  <c r="D66" i="281"/>
  <c r="E65" i="281"/>
  <c r="E66" i="281" s="1"/>
  <c r="D63" i="281"/>
  <c r="E62" i="281"/>
  <c r="E63" i="281" s="1"/>
  <c r="D60" i="281"/>
  <c r="E59" i="281"/>
  <c r="E60" i="281" s="1"/>
  <c r="E55" i="281"/>
  <c r="E57" i="281" s="1"/>
  <c r="D53" i="281"/>
  <c r="E52" i="281"/>
  <c r="E53" i="281" s="1"/>
  <c r="D50" i="281"/>
  <c r="E49" i="281"/>
  <c r="E50" i="281" s="1"/>
  <c r="D47" i="281"/>
  <c r="E46" i="281"/>
  <c r="E47" i="281" s="1"/>
  <c r="D44" i="281"/>
  <c r="E43" i="281"/>
  <c r="E44" i="281" s="1"/>
  <c r="D41" i="281"/>
  <c r="E40" i="281"/>
  <c r="E41" i="281" s="1"/>
  <c r="D38" i="281"/>
  <c r="E37" i="281"/>
  <c r="E36" i="281"/>
  <c r="D34" i="281"/>
  <c r="E33" i="281"/>
  <c r="E34" i="281" s="1"/>
  <c r="D31" i="281"/>
  <c r="E30" i="281"/>
  <c r="E31" i="281" s="1"/>
  <c r="D25" i="281"/>
  <c r="E24" i="281"/>
  <c r="E25" i="281" s="1"/>
  <c r="D22" i="281"/>
  <c r="E21" i="281"/>
  <c r="E22" i="281" s="1"/>
  <c r="D19" i="281"/>
  <c r="E18" i="281"/>
  <c r="E19" i="281" s="1"/>
  <c r="D16" i="281"/>
  <c r="E15" i="281"/>
  <c r="E16" i="281" s="1"/>
  <c r="D10" i="281"/>
  <c r="E9" i="281"/>
  <c r="E8" i="281"/>
  <c r="E7" i="281"/>
  <c r="E6" i="281"/>
  <c r="U41" i="239" l="1"/>
  <c r="Z49" i="239"/>
  <c r="AK43" i="239"/>
  <c r="AJ35" i="239"/>
  <c r="AK36" i="239"/>
  <c r="AJ39" i="239"/>
  <c r="AK42" i="239"/>
  <c r="AK23" i="239"/>
  <c r="AK24" i="239" s="1"/>
  <c r="AK34" i="239"/>
  <c r="AJ37" i="239"/>
  <c r="AK38" i="239"/>
  <c r="AJ30" i="239"/>
  <c r="AK31" i="239"/>
  <c r="AI25" i="239"/>
  <c r="AI26" i="239" s="1"/>
  <c r="AK27" i="239"/>
  <c r="AK28" i="239" s="1"/>
  <c r="J60" i="239"/>
  <c r="N61" i="239"/>
  <c r="S41" i="239"/>
  <c r="S50" i="239" s="1"/>
  <c r="S52" i="239" s="1"/>
  <c r="S51" i="239"/>
  <c r="AI59" i="239"/>
  <c r="AJ45" i="239"/>
  <c r="AJ29" i="239"/>
  <c r="AI27" i="239"/>
  <c r="AI28" i="239" s="1"/>
  <c r="W22" i="239"/>
  <c r="Z61" i="239"/>
  <c r="V19" i="239"/>
  <c r="AF22" i="239"/>
  <c r="AF51" i="239" s="1"/>
  <c r="T41" i="239"/>
  <c r="U50" i="239"/>
  <c r="U52" i="239" s="1"/>
  <c r="W19" i="239"/>
  <c r="N27" i="239"/>
  <c r="V32" i="239"/>
  <c r="AJ61" i="239"/>
  <c r="AJ36" i="239"/>
  <c r="Z25" i="239"/>
  <c r="Z26" i="239" s="1"/>
  <c r="AE22" i="239"/>
  <c r="AE51" i="239" s="1"/>
  <c r="AJ25" i="239"/>
  <c r="AJ26" i="239" s="1"/>
  <c r="AJ32" i="239"/>
  <c r="N25" i="239"/>
  <c r="N37" i="239"/>
  <c r="N45" i="239"/>
  <c r="K60" i="239"/>
  <c r="K64" i="239" s="1"/>
  <c r="AK61" i="239"/>
  <c r="AK64" i="239" s="1"/>
  <c r="AI43" i="239"/>
  <c r="AL43" i="239" s="1"/>
  <c r="AK45" i="239"/>
  <c r="AK29" i="239"/>
  <c r="AK25" i="239"/>
  <c r="AK26" i="239" s="1"/>
  <c r="AH45" i="239"/>
  <c r="AF60" i="239"/>
  <c r="AG64" i="239"/>
  <c r="T50" i="239"/>
  <c r="T52" i="239" s="1"/>
  <c r="AK17" i="239"/>
  <c r="AK19" i="239" s="1"/>
  <c r="N15" i="239"/>
  <c r="AL15" i="239" s="1"/>
  <c r="N31" i="239"/>
  <c r="AJ46" i="239"/>
  <c r="AJ47" i="239" s="1"/>
  <c r="N48" i="239"/>
  <c r="AL59" i="239"/>
  <c r="D106" i="281"/>
  <c r="D107" i="281" s="1"/>
  <c r="N23" i="239"/>
  <c r="AI49" i="239"/>
  <c r="Y40" i="239"/>
  <c r="V22" i="239"/>
  <c r="Z65" i="239"/>
  <c r="AK44" i="239"/>
  <c r="AJ34" i="239"/>
  <c r="AJ38" i="239"/>
  <c r="AI30" i="239"/>
  <c r="Z21" i="239"/>
  <c r="Z20" i="239"/>
  <c r="AG22" i="239"/>
  <c r="AG51" i="239" s="1"/>
  <c r="AJ23" i="239"/>
  <c r="AJ24" i="239" s="1"/>
  <c r="AJ27" i="239"/>
  <c r="AJ28" i="239" s="1"/>
  <c r="AJ33" i="239" s="1"/>
  <c r="AH43" i="239"/>
  <c r="AH59" i="239"/>
  <c r="AH65" i="239"/>
  <c r="J64" i="239"/>
  <c r="AJ48" i="239"/>
  <c r="AJ42" i="239"/>
  <c r="AJ18" i="239"/>
  <c r="N18" i="239"/>
  <c r="AH18" i="239"/>
  <c r="V64" i="239"/>
  <c r="V66" i="239" s="1"/>
  <c r="Z58" i="239"/>
  <c r="Z60" i="239" s="1"/>
  <c r="Z64" i="239" s="1"/>
  <c r="Z66" i="239" s="1"/>
  <c r="AF19" i="239"/>
  <c r="Z18" i="239"/>
  <c r="AI18" i="239"/>
  <c r="AF64" i="239"/>
  <c r="AJ17" i="239"/>
  <c r="AI22" i="239"/>
  <c r="AJ60" i="239"/>
  <c r="AK22" i="239"/>
  <c r="AJ40" i="239"/>
  <c r="AH29" i="239"/>
  <c r="AG32" i="239"/>
  <c r="AG33" i="239" s="1"/>
  <c r="AH31" i="239"/>
  <c r="AF40" i="239"/>
  <c r="AI58" i="239"/>
  <c r="AI61" i="239"/>
  <c r="L60" i="239"/>
  <c r="L64" i="239" s="1"/>
  <c r="N16" i="239"/>
  <c r="AL16" i="239" s="1"/>
  <c r="N12" i="239"/>
  <c r="AL12" i="239" s="1"/>
  <c r="AJ22" i="239"/>
  <c r="N30" i="239"/>
  <c r="N36" i="239"/>
  <c r="N44" i="239"/>
  <c r="N62" i="239"/>
  <c r="X32" i="239"/>
  <c r="X40" i="239"/>
  <c r="Z48" i="239"/>
  <c r="Z35" i="239"/>
  <c r="Z39" i="239"/>
  <c r="Y32" i="239"/>
  <c r="AG40" i="239"/>
  <c r="AH35" i="239"/>
  <c r="AH37" i="239"/>
  <c r="AH39" i="239"/>
  <c r="AI45" i="239"/>
  <c r="AL45" i="239" s="1"/>
  <c r="AE60" i="239"/>
  <c r="AE64" i="239" s="1"/>
  <c r="N10" i="239"/>
  <c r="N13" i="239"/>
  <c r="AL13" i="239" s="1"/>
  <c r="N29" i="239"/>
  <c r="N35" i="239"/>
  <c r="N39" i="239"/>
  <c r="N43" i="239"/>
  <c r="N58" i="239"/>
  <c r="Z43" i="239"/>
  <c r="Z34" i="239"/>
  <c r="Z38" i="239"/>
  <c r="Z31" i="239"/>
  <c r="AI10" i="239"/>
  <c r="AI34" i="239"/>
  <c r="AK35" i="239"/>
  <c r="AI36" i="239"/>
  <c r="AL36" i="239" s="1"/>
  <c r="AK37" i="239"/>
  <c r="AL37" i="239" s="1"/>
  <c r="AI38" i="239"/>
  <c r="AK39" i="239"/>
  <c r="N11" i="239"/>
  <c r="N14" i="239"/>
  <c r="AL14" i="239" s="1"/>
  <c r="N20" i="239"/>
  <c r="AL20" i="239" s="1"/>
  <c r="N34" i="239"/>
  <c r="N38" i="239"/>
  <c r="N42" i="239"/>
  <c r="N46" i="239"/>
  <c r="N49" i="239"/>
  <c r="AL49" i="239" s="1"/>
  <c r="N59" i="239"/>
  <c r="V40" i="239"/>
  <c r="Z42" i="239"/>
  <c r="Z46" i="239"/>
  <c r="Z47" i="239" s="1"/>
  <c r="Z37" i="239"/>
  <c r="Z30" i="239"/>
  <c r="Z32" i="239" s="1"/>
  <c r="AH10" i="239"/>
  <c r="AI12" i="239"/>
  <c r="AI13" i="239"/>
  <c r="AI14" i="239"/>
  <c r="AI15" i="239"/>
  <c r="AI16" i="239"/>
  <c r="AI29" i="239"/>
  <c r="AK30" i="239"/>
  <c r="AL30" i="239" s="1"/>
  <c r="AI31" i="239"/>
  <c r="AI42" i="239"/>
  <c r="AK48" i="239"/>
  <c r="AK49" i="239"/>
  <c r="AH58" i="239"/>
  <c r="AH60" i="239" s="1"/>
  <c r="AJ62" i="239"/>
  <c r="AL62" i="239" s="1"/>
  <c r="J66" i="239"/>
  <c r="AL65" i="239"/>
  <c r="N65" i="239"/>
  <c r="P68" i="244"/>
  <c r="N21" i="239"/>
  <c r="AH22" i="239"/>
  <c r="AH51" i="239" s="1"/>
  <c r="AG41" i="239"/>
  <c r="AG50" i="239" s="1"/>
  <c r="AG52" i="239" s="1"/>
  <c r="AH9" i="239"/>
  <c r="AH11" i="239"/>
  <c r="AH23" i="239"/>
  <c r="AH24" i="239" s="1"/>
  <c r="AH25" i="239"/>
  <c r="AH26" i="239" s="1"/>
  <c r="AH27" i="239"/>
  <c r="AH28" i="239" s="1"/>
  <c r="AH30" i="239"/>
  <c r="AE32" i="239"/>
  <c r="AE33" i="239" s="1"/>
  <c r="AH34" i="239"/>
  <c r="AH36" i="239"/>
  <c r="AH38" i="239"/>
  <c r="AE40" i="239"/>
  <c r="AH42" i="239"/>
  <c r="AH44" i="239"/>
  <c r="AH61" i="239"/>
  <c r="AL10" i="239"/>
  <c r="AL29" i="239"/>
  <c r="AF33" i="239"/>
  <c r="AF41" i="239" s="1"/>
  <c r="AF50" i="239" s="1"/>
  <c r="AL31" i="239"/>
  <c r="AL35" i="239"/>
  <c r="AL39" i="239"/>
  <c r="AE17" i="239"/>
  <c r="AE19" i="239" s="1"/>
  <c r="AL9" i="239"/>
  <c r="AL11" i="239"/>
  <c r="AL23" i="239"/>
  <c r="AL24" i="239" s="1"/>
  <c r="AL25" i="239"/>
  <c r="AL26" i="239" s="1"/>
  <c r="Y19" i="239"/>
  <c r="Y22" i="239"/>
  <c r="Y51" i="239" s="1"/>
  <c r="Z33" i="239"/>
  <c r="X24" i="239"/>
  <c r="X26" i="239"/>
  <c r="X28" i="239"/>
  <c r="W51" i="239"/>
  <c r="Y33" i="239"/>
  <c r="X51" i="239"/>
  <c r="W32" i="239"/>
  <c r="W33" i="239" s="1"/>
  <c r="W41" i="239" s="1"/>
  <c r="W50" i="239" s="1"/>
  <c r="Y41" i="239"/>
  <c r="W64" i="239"/>
  <c r="X60" i="239"/>
  <c r="X64" i="239" s="1"/>
  <c r="Y60" i="239"/>
  <c r="Y64" i="239" s="1"/>
  <c r="V51" i="239"/>
  <c r="V33" i="239"/>
  <c r="V41" i="239" s="1"/>
  <c r="V50" i="239" s="1"/>
  <c r="N9" i="239"/>
  <c r="M60" i="239"/>
  <c r="M64" i="239" s="1"/>
  <c r="E10" i="281"/>
  <c r="E106" i="281"/>
  <c r="E38" i="281"/>
  <c r="AE41" i="239" l="1"/>
  <c r="AL32" i="239"/>
  <c r="E107" i="281"/>
  <c r="AJ41" i="239"/>
  <c r="Z22" i="239"/>
  <c r="Z51" i="239" s="1"/>
  <c r="AK51" i="239"/>
  <c r="AI32" i="239"/>
  <c r="AF52" i="239"/>
  <c r="AL48" i="239"/>
  <c r="AJ51" i="239"/>
  <c r="AL42" i="239"/>
  <c r="AJ19" i="239"/>
  <c r="AJ50" i="239" s="1"/>
  <c r="AL21" i="239"/>
  <c r="AL22" i="239" s="1"/>
  <c r="AL27" i="239"/>
  <c r="AL28" i="239" s="1"/>
  <c r="AL33" i="239" s="1"/>
  <c r="X33" i="239"/>
  <c r="X41" i="239" s="1"/>
  <c r="X50" i="239" s="1"/>
  <c r="X52" i="239" s="1"/>
  <c r="AH32" i="239"/>
  <c r="AL46" i="239"/>
  <c r="AL47" i="239" s="1"/>
  <c r="AL38" i="239"/>
  <c r="Z40" i="239"/>
  <c r="Z41" i="239" s="1"/>
  <c r="AI51" i="239"/>
  <c r="AI17" i="239"/>
  <c r="AI19" i="239" s="1"/>
  <c r="Z19" i="239"/>
  <c r="AL18" i="239"/>
  <c r="AJ64" i="239"/>
  <c r="AH64" i="239"/>
  <c r="AH66" i="239" s="1"/>
  <c r="AL61" i="239"/>
  <c r="AL34" i="239"/>
  <c r="AI40" i="239"/>
  <c r="AL58" i="239"/>
  <c r="AL60" i="239" s="1"/>
  <c r="AI60" i="239"/>
  <c r="AI64" i="239" s="1"/>
  <c r="AK32" i="239"/>
  <c r="AK33" i="239" s="1"/>
  <c r="AK41" i="239" s="1"/>
  <c r="AK50" i="239" s="1"/>
  <c r="AK52" i="239" s="1"/>
  <c r="AH33" i="239"/>
  <c r="N60" i="239"/>
  <c r="N64" i="239" s="1"/>
  <c r="AL40" i="239"/>
  <c r="AK40" i="239"/>
  <c r="AI33" i="239"/>
  <c r="AI41" i="239" s="1"/>
  <c r="AI50" i="239" s="1"/>
  <c r="AI52" i="239" s="1"/>
  <c r="AE50" i="239"/>
  <c r="AE52" i="239" s="1"/>
  <c r="AL17" i="239"/>
  <c r="AH40" i="239"/>
  <c r="AH17" i="239"/>
  <c r="AH19" i="239" s="1"/>
  <c r="Y50" i="239"/>
  <c r="Y52" i="239" s="1"/>
  <c r="W52" i="239"/>
  <c r="V52" i="239"/>
  <c r="V55" i="239" s="1"/>
  <c r="H97" i="233"/>
  <c r="G183" i="233"/>
  <c r="H240" i="233" l="1"/>
  <c r="H259" i="233" s="1"/>
  <c r="AH41" i="239"/>
  <c r="AJ52" i="239"/>
  <c r="AL19" i="239"/>
  <c r="AL50" i="239" s="1"/>
  <c r="AL51" i="239"/>
  <c r="AL41" i="239"/>
  <c r="Z50" i="239"/>
  <c r="Z52" i="239" s="1"/>
  <c r="Z55" i="239" s="1"/>
  <c r="N66" i="239"/>
  <c r="AL64" i="239"/>
  <c r="AL66" i="239" s="1"/>
  <c r="AH50" i="239"/>
  <c r="AH52" i="239" s="1"/>
  <c r="AH55" i="239" s="1"/>
  <c r="G47" i="239"/>
  <c r="H47" i="239"/>
  <c r="I47" i="239"/>
  <c r="J47" i="239"/>
  <c r="K47" i="239"/>
  <c r="L47" i="239"/>
  <c r="M47" i="239"/>
  <c r="N47" i="239"/>
  <c r="G40" i="239"/>
  <c r="H40" i="239"/>
  <c r="I40" i="239"/>
  <c r="J40" i="239"/>
  <c r="K40" i="239"/>
  <c r="L40" i="239"/>
  <c r="M40" i="239"/>
  <c r="N40" i="239"/>
  <c r="G32" i="239"/>
  <c r="H32" i="239"/>
  <c r="I32" i="239"/>
  <c r="J32" i="239"/>
  <c r="K32" i="239"/>
  <c r="L32" i="239"/>
  <c r="M32" i="239"/>
  <c r="N32" i="239"/>
  <c r="G28" i="239"/>
  <c r="G33" i="239" s="1"/>
  <c r="H28" i="239"/>
  <c r="I28" i="239"/>
  <c r="J28" i="239"/>
  <c r="K28" i="239"/>
  <c r="L28" i="239"/>
  <c r="M28" i="239"/>
  <c r="N28" i="239"/>
  <c r="G26" i="239"/>
  <c r="H26" i="239"/>
  <c r="I26" i="239"/>
  <c r="J26" i="239"/>
  <c r="K26" i="239"/>
  <c r="L26" i="239"/>
  <c r="M26" i="239"/>
  <c r="N26" i="239"/>
  <c r="G24" i="239"/>
  <c r="H24" i="239"/>
  <c r="I24" i="239"/>
  <c r="J24" i="239"/>
  <c r="K24" i="239"/>
  <c r="L24" i="239"/>
  <c r="M24" i="239"/>
  <c r="N24" i="239"/>
  <c r="G22" i="239"/>
  <c r="H22" i="239"/>
  <c r="H51" i="239" s="1"/>
  <c r="I22" i="239"/>
  <c r="J22" i="239"/>
  <c r="K22" i="239"/>
  <c r="L22" i="239"/>
  <c r="M22" i="239"/>
  <c r="N22" i="239"/>
  <c r="G17" i="239"/>
  <c r="G19" i="239" s="1"/>
  <c r="H17" i="239"/>
  <c r="H19" i="239" s="1"/>
  <c r="I17" i="239"/>
  <c r="I19" i="239" s="1"/>
  <c r="J17" i="239"/>
  <c r="J19" i="239" s="1"/>
  <c r="K17" i="239"/>
  <c r="K19" i="239" s="1"/>
  <c r="L17" i="239"/>
  <c r="L19" i="239" s="1"/>
  <c r="M17" i="239"/>
  <c r="M19" i="239" s="1"/>
  <c r="N17" i="239"/>
  <c r="N19" i="239" s="1"/>
  <c r="M33" i="239" l="1"/>
  <c r="I33" i="239"/>
  <c r="AL52" i="239"/>
  <c r="AL55" i="239" s="1"/>
  <c r="K33" i="239"/>
  <c r="H33" i="239"/>
  <c r="H41" i="239" s="1"/>
  <c r="H50" i="239" s="1"/>
  <c r="H52" i="239" s="1"/>
  <c r="K51" i="239"/>
  <c r="G51" i="239"/>
  <c r="G41" i="239"/>
  <c r="N51" i="239"/>
  <c r="N33" i="239"/>
  <c r="N41" i="239" s="1"/>
  <c r="N50" i="239" s="1"/>
  <c r="J33" i="239"/>
  <c r="J41" i="239" s="1"/>
  <c r="J50" i="239" s="1"/>
  <c r="I51" i="239"/>
  <c r="I41" i="239"/>
  <c r="I50" i="239" s="1"/>
  <c r="I52" i="239" s="1"/>
  <c r="G50" i="239"/>
  <c r="L51" i="239"/>
  <c r="L33" i="239"/>
  <c r="L41" i="239" s="1"/>
  <c r="L50" i="239" s="1"/>
  <c r="M51" i="239"/>
  <c r="M41" i="239"/>
  <c r="M50" i="239" s="1"/>
  <c r="K41" i="239"/>
  <c r="K50" i="239" s="1"/>
  <c r="J51" i="239"/>
  <c r="W9" i="240"/>
  <c r="AH28" i="240"/>
  <c r="AE9" i="240"/>
  <c r="N52" i="239" l="1"/>
  <c r="N55" i="239" s="1"/>
  <c r="G52" i="239"/>
  <c r="L52" i="239"/>
  <c r="K52" i="239"/>
  <c r="M52" i="239"/>
  <c r="J52" i="239"/>
  <c r="J55" i="239" s="1"/>
  <c r="AG24" i="240"/>
  <c r="AF24" i="240"/>
  <c r="AE24" i="240"/>
  <c r="AG23" i="240"/>
  <c r="AF23" i="240"/>
  <c r="AF27" i="240" s="1"/>
  <c r="AE23" i="240"/>
  <c r="AG20" i="240"/>
  <c r="AF20" i="240"/>
  <c r="AE20" i="240"/>
  <c r="AG19" i="240"/>
  <c r="AF19" i="240"/>
  <c r="AE19" i="240"/>
  <c r="AG17" i="240"/>
  <c r="AF17" i="240"/>
  <c r="AE17" i="240"/>
  <c r="AG16" i="240"/>
  <c r="AF16" i="240"/>
  <c r="AE16" i="240"/>
  <c r="AG15" i="240"/>
  <c r="AF15" i="240"/>
  <c r="AE15" i="240"/>
  <c r="AG13" i="240"/>
  <c r="AF13" i="240"/>
  <c r="AE13" i="240"/>
  <c r="AG12" i="240"/>
  <c r="AF12" i="240"/>
  <c r="AE12" i="240"/>
  <c r="AG11" i="240"/>
  <c r="AF11" i="240"/>
  <c r="AE11" i="240"/>
  <c r="AG10" i="240"/>
  <c r="AF10" i="240"/>
  <c r="AE10" i="240"/>
  <c r="AG9" i="240"/>
  <c r="AF9" i="240"/>
  <c r="Y24" i="240"/>
  <c r="X24" i="240"/>
  <c r="W24" i="240"/>
  <c r="Y23" i="240"/>
  <c r="Y27" i="240" s="1"/>
  <c r="X23" i="240"/>
  <c r="W23" i="240"/>
  <c r="W27" i="240" s="1"/>
  <c r="V24" i="240"/>
  <c r="V23" i="240"/>
  <c r="V27" i="240" s="1"/>
  <c r="Y20" i="240"/>
  <c r="X20" i="240"/>
  <c r="W20" i="240"/>
  <c r="Y19" i="240"/>
  <c r="X19" i="240"/>
  <c r="W19" i="240"/>
  <c r="Y17" i="240"/>
  <c r="X17" i="240"/>
  <c r="W17" i="240"/>
  <c r="Y16" i="240"/>
  <c r="X16" i="240"/>
  <c r="W16" i="240"/>
  <c r="Y15" i="240"/>
  <c r="X15" i="240"/>
  <c r="W15" i="240"/>
  <c r="W11" i="240"/>
  <c r="X11" i="240"/>
  <c r="Y11" i="240"/>
  <c r="W12" i="240"/>
  <c r="X12" i="240"/>
  <c r="Y12" i="240"/>
  <c r="W13" i="240"/>
  <c r="X13" i="240"/>
  <c r="Y13" i="240"/>
  <c r="Y10" i="240"/>
  <c r="X10" i="240"/>
  <c r="W10" i="240"/>
  <c r="Y9" i="240"/>
  <c r="X9" i="240"/>
  <c r="V20" i="240"/>
  <c r="V19" i="240"/>
  <c r="V17" i="240"/>
  <c r="V16" i="240"/>
  <c r="V15" i="240"/>
  <c r="V11" i="240"/>
  <c r="V12" i="240"/>
  <c r="V13" i="240"/>
  <c r="V10" i="240"/>
  <c r="V9" i="240"/>
  <c r="Z28" i="240"/>
  <c r="AL28" i="240" s="1"/>
  <c r="S21" i="240"/>
  <c r="T21" i="240"/>
  <c r="U21" i="240"/>
  <c r="V21" i="240"/>
  <c r="X21" i="240"/>
  <c r="S18" i="240"/>
  <c r="T18" i="240"/>
  <c r="U18" i="240"/>
  <c r="S14" i="240"/>
  <c r="T14" i="240"/>
  <c r="U14" i="240"/>
  <c r="M24" i="240"/>
  <c r="L24" i="240"/>
  <c r="K24" i="240"/>
  <c r="M23" i="240"/>
  <c r="L23" i="240"/>
  <c r="L27" i="240" s="1"/>
  <c r="K23" i="240"/>
  <c r="J24" i="240"/>
  <c r="AH24" i="240" s="1"/>
  <c r="J23" i="240"/>
  <c r="M20" i="240"/>
  <c r="L20" i="240"/>
  <c r="K20" i="240"/>
  <c r="M19" i="240"/>
  <c r="L19" i="240"/>
  <c r="K19" i="240"/>
  <c r="AI19" i="240" s="1"/>
  <c r="M17" i="240"/>
  <c r="L17" i="240"/>
  <c r="K17" i="240"/>
  <c r="M16" i="240"/>
  <c r="AK16" i="240" s="1"/>
  <c r="L16" i="240"/>
  <c r="AJ16" i="240" s="1"/>
  <c r="K16" i="240"/>
  <c r="M15" i="240"/>
  <c r="L15" i="240"/>
  <c r="AJ15" i="240" s="1"/>
  <c r="K15" i="240"/>
  <c r="K11" i="240"/>
  <c r="L11" i="240"/>
  <c r="M11" i="240"/>
  <c r="K12" i="240"/>
  <c r="L12" i="240"/>
  <c r="M12" i="240"/>
  <c r="K13" i="240"/>
  <c r="AI13" i="240" s="1"/>
  <c r="L13" i="240"/>
  <c r="M13" i="240"/>
  <c r="L10" i="240"/>
  <c r="M10" i="240"/>
  <c r="M9" i="240"/>
  <c r="L9" i="240"/>
  <c r="K10" i="240"/>
  <c r="K9" i="240"/>
  <c r="AI9" i="240" s="1"/>
  <c r="J20" i="240"/>
  <c r="J19" i="240"/>
  <c r="J16" i="240"/>
  <c r="J17" i="240"/>
  <c r="J15" i="240"/>
  <c r="J11" i="240"/>
  <c r="J12" i="240"/>
  <c r="J13" i="240"/>
  <c r="J10" i="240"/>
  <c r="G21" i="240"/>
  <c r="H21" i="240"/>
  <c r="I21" i="240"/>
  <c r="G18" i="240"/>
  <c r="H18" i="240"/>
  <c r="I18" i="240"/>
  <c r="G14" i="240"/>
  <c r="H14" i="240"/>
  <c r="I14" i="240"/>
  <c r="J9" i="240"/>
  <c r="AK9" i="240" l="1"/>
  <c r="T22" i="240"/>
  <c r="AI12" i="240"/>
  <c r="AJ12" i="240"/>
  <c r="AI11" i="240"/>
  <c r="AI16" i="240"/>
  <c r="AJ17" i="240"/>
  <c r="AJ18" i="240" s="1"/>
  <c r="X18" i="240"/>
  <c r="W21" i="240"/>
  <c r="AG21" i="240"/>
  <c r="AE27" i="240"/>
  <c r="AJ24" i="240"/>
  <c r="AG18" i="240"/>
  <c r="K27" i="240"/>
  <c r="AK10" i="240"/>
  <c r="Z20" i="240"/>
  <c r="X27" i="240"/>
  <c r="Z24" i="240"/>
  <c r="AG27" i="240"/>
  <c r="J27" i="240"/>
  <c r="M27" i="240"/>
  <c r="U22" i="240"/>
  <c r="AH13" i="240"/>
  <c r="W14" i="240"/>
  <c r="S22" i="240"/>
  <c r="AH23" i="240"/>
  <c r="AH27" i="240" s="1"/>
  <c r="M21" i="240"/>
  <c r="AE21" i="240"/>
  <c r="K21" i="240"/>
  <c r="AK15" i="240"/>
  <c r="AE18" i="240"/>
  <c r="AI17" i="240"/>
  <c r="N13" i="240"/>
  <c r="AE14" i="240"/>
  <c r="I22" i="240"/>
  <c r="N10" i="240"/>
  <c r="AJ10" i="240"/>
  <c r="AK11" i="240"/>
  <c r="AK13" i="240"/>
  <c r="N11" i="240"/>
  <c r="AJ9" i="240"/>
  <c r="AK12" i="240"/>
  <c r="L21" i="240"/>
  <c r="N12" i="240"/>
  <c r="AL16" i="240"/>
  <c r="Z12" i="240"/>
  <c r="W18" i="240"/>
  <c r="Z17" i="240"/>
  <c r="AH16" i="240"/>
  <c r="AK19" i="240"/>
  <c r="AI20" i="240"/>
  <c r="AI21" i="240" s="1"/>
  <c r="AI24" i="240"/>
  <c r="Z13" i="240"/>
  <c r="Z16" i="240"/>
  <c r="AG14" i="240"/>
  <c r="AF18" i="240"/>
  <c r="AH17" i="240"/>
  <c r="AK17" i="240"/>
  <c r="AF21" i="240"/>
  <c r="AH20" i="240"/>
  <c r="AJ20" i="240"/>
  <c r="AJ13" i="240"/>
  <c r="AK20" i="240"/>
  <c r="AI23" i="240"/>
  <c r="AI27" i="240" s="1"/>
  <c r="AK24" i="240"/>
  <c r="AJ19" i="240"/>
  <c r="N20" i="240"/>
  <c r="N24" i="240"/>
  <c r="AL24" i="240" s="1"/>
  <c r="Y21" i="240"/>
  <c r="AK23" i="240"/>
  <c r="N17" i="240"/>
  <c r="L18" i="240"/>
  <c r="N15" i="240"/>
  <c r="H22" i="240"/>
  <c r="AJ11" i="240"/>
  <c r="AH11" i="240"/>
  <c r="G22" i="240"/>
  <c r="J14" i="240"/>
  <c r="N9" i="240"/>
  <c r="K18" i="240"/>
  <c r="N16" i="240"/>
  <c r="J21" i="240"/>
  <c r="N23" i="240"/>
  <c r="N27" i="240" s="1"/>
  <c r="AJ23" i="240"/>
  <c r="AJ27" i="240" s="1"/>
  <c r="V18" i="240"/>
  <c r="Z15" i="240"/>
  <c r="AI15" i="240"/>
  <c r="Z10" i="240"/>
  <c r="V14" i="240"/>
  <c r="Z11" i="240"/>
  <c r="AF14" i="240"/>
  <c r="AI10" i="240"/>
  <c r="Z9" i="240"/>
  <c r="Y14" i="240"/>
  <c r="AH10" i="240"/>
  <c r="AH12" i="240"/>
  <c r="AG22" i="240"/>
  <c r="AH9" i="240"/>
  <c r="AH15" i="240"/>
  <c r="AH18" i="240" s="1"/>
  <c r="AH19" i="240"/>
  <c r="AH21" i="240" s="1"/>
  <c r="Z23" i="240"/>
  <c r="Z27" i="240" s="1"/>
  <c r="Y18" i="240"/>
  <c r="Z19" i="240"/>
  <c r="Z21" i="240" s="1"/>
  <c r="X14" i="240"/>
  <c r="X22" i="240" s="1"/>
  <c r="N19" i="240"/>
  <c r="M18" i="240"/>
  <c r="L14" i="240"/>
  <c r="M14" i="240"/>
  <c r="K14" i="240"/>
  <c r="J18" i="240"/>
  <c r="I48" i="261"/>
  <c r="J44" i="261"/>
  <c r="J45" i="261"/>
  <c r="J46" i="261"/>
  <c r="J47" i="261" s="1"/>
  <c r="J43" i="261"/>
  <c r="I44" i="261"/>
  <c r="I45" i="261"/>
  <c r="I46" i="261"/>
  <c r="I43" i="261"/>
  <c r="J42" i="261"/>
  <c r="I42" i="261"/>
  <c r="J18" i="261"/>
  <c r="I18" i="261"/>
  <c r="J62" i="261"/>
  <c r="I62" i="261"/>
  <c r="J61" i="261"/>
  <c r="I61" i="261"/>
  <c r="H61" i="261"/>
  <c r="K61" i="261" s="1"/>
  <c r="E62" i="261"/>
  <c r="H49" i="261"/>
  <c r="H48" i="261"/>
  <c r="E49" i="261"/>
  <c r="K49" i="261" s="1"/>
  <c r="E48" i="261"/>
  <c r="H44" i="261"/>
  <c r="H45" i="261"/>
  <c r="H46" i="261"/>
  <c r="H47" i="261" s="1"/>
  <c r="H43" i="261"/>
  <c r="H42" i="261"/>
  <c r="E44" i="261"/>
  <c r="K44" i="261" s="1"/>
  <c r="E45" i="261"/>
  <c r="E46" i="261"/>
  <c r="E47" i="261" s="1"/>
  <c r="E43" i="261"/>
  <c r="E42" i="261"/>
  <c r="K42" i="261" s="1"/>
  <c r="H35" i="261"/>
  <c r="H36" i="261"/>
  <c r="H37" i="261"/>
  <c r="H38" i="261"/>
  <c r="K38" i="261" s="1"/>
  <c r="H39" i="261"/>
  <c r="H34" i="261"/>
  <c r="E35" i="261"/>
  <c r="E36" i="261"/>
  <c r="E37" i="261"/>
  <c r="E38" i="261"/>
  <c r="E39" i="261"/>
  <c r="E34" i="261"/>
  <c r="K34" i="261" s="1"/>
  <c r="E31" i="261"/>
  <c r="E30" i="261"/>
  <c r="H31" i="261"/>
  <c r="H30" i="261"/>
  <c r="H29" i="261"/>
  <c r="E29" i="261"/>
  <c r="E27" i="261"/>
  <c r="H27" i="261"/>
  <c r="H28" i="261" s="1"/>
  <c r="H25" i="261"/>
  <c r="H26" i="261" s="1"/>
  <c r="E25" i="261"/>
  <c r="E26" i="261" s="1"/>
  <c r="H23" i="261"/>
  <c r="E23" i="261"/>
  <c r="E24" i="261" s="1"/>
  <c r="H21" i="261"/>
  <c r="H20" i="261"/>
  <c r="E21" i="261"/>
  <c r="E20" i="261"/>
  <c r="K20" i="261" s="1"/>
  <c r="H18" i="261"/>
  <c r="E18" i="261"/>
  <c r="H11" i="261"/>
  <c r="H12" i="261"/>
  <c r="H13" i="261"/>
  <c r="H14" i="261"/>
  <c r="H15" i="261"/>
  <c r="H16" i="261"/>
  <c r="H10" i="261"/>
  <c r="H9" i="261"/>
  <c r="E11" i="261"/>
  <c r="K11" i="261" s="1"/>
  <c r="E12" i="261"/>
  <c r="K12" i="261" s="1"/>
  <c r="E13" i="261"/>
  <c r="K13" i="261" s="1"/>
  <c r="E14" i="261"/>
  <c r="E15" i="261"/>
  <c r="E16" i="261"/>
  <c r="E10" i="261"/>
  <c r="E9" i="261"/>
  <c r="H60" i="261"/>
  <c r="G60" i="261"/>
  <c r="G64" i="261" s="1"/>
  <c r="E60" i="261"/>
  <c r="D60" i="261"/>
  <c r="D64" i="261" s="1"/>
  <c r="D47" i="261"/>
  <c r="F47" i="261"/>
  <c r="G47" i="261"/>
  <c r="D40" i="261"/>
  <c r="F40" i="261"/>
  <c r="G40" i="261"/>
  <c r="D32" i="261"/>
  <c r="F32" i="261"/>
  <c r="G32" i="261"/>
  <c r="G33" i="261" s="1"/>
  <c r="H32" i="261"/>
  <c r="D28" i="261"/>
  <c r="D33" i="261" s="1"/>
  <c r="F28" i="261"/>
  <c r="G28" i="261"/>
  <c r="D26" i="261"/>
  <c r="F26" i="261"/>
  <c r="G26" i="261"/>
  <c r="G41" i="261" s="1"/>
  <c r="D24" i="261"/>
  <c r="F24" i="261"/>
  <c r="G24" i="261"/>
  <c r="H24" i="261"/>
  <c r="D22" i="261"/>
  <c r="F22" i="261"/>
  <c r="G22" i="261"/>
  <c r="G51" i="261" s="1"/>
  <c r="D17" i="261"/>
  <c r="D19" i="261" s="1"/>
  <c r="F17" i="261"/>
  <c r="F19" i="261" s="1"/>
  <c r="G17" i="261"/>
  <c r="G19" i="261" s="1"/>
  <c r="J49" i="261"/>
  <c r="J48" i="261"/>
  <c r="J39" i="261"/>
  <c r="J38" i="261"/>
  <c r="J37" i="261"/>
  <c r="J36" i="261"/>
  <c r="J35" i="261"/>
  <c r="J34" i="261"/>
  <c r="J31" i="261"/>
  <c r="K30" i="261"/>
  <c r="J30" i="261"/>
  <c r="J29" i="261"/>
  <c r="J27" i="261"/>
  <c r="J28" i="261" s="1"/>
  <c r="J25" i="261"/>
  <c r="J26" i="261" s="1"/>
  <c r="J23" i="261"/>
  <c r="J24" i="261" s="1"/>
  <c r="J21" i="261"/>
  <c r="J20" i="261"/>
  <c r="J16" i="261"/>
  <c r="K15" i="261"/>
  <c r="J15" i="261"/>
  <c r="K14" i="261"/>
  <c r="J14" i="261"/>
  <c r="J13" i="261"/>
  <c r="J12" i="261"/>
  <c r="J11" i="261"/>
  <c r="J10" i="261"/>
  <c r="J9" i="261"/>
  <c r="J23" i="260"/>
  <c r="J27" i="260" s="1"/>
  <c r="I23" i="260"/>
  <c r="I27" i="260" s="1"/>
  <c r="H20" i="260"/>
  <c r="H19" i="260"/>
  <c r="H16" i="260"/>
  <c r="H17" i="260"/>
  <c r="H15" i="260"/>
  <c r="H11" i="260"/>
  <c r="H12" i="260"/>
  <c r="H13" i="260"/>
  <c r="H10" i="260"/>
  <c r="H9" i="260"/>
  <c r="H28" i="260"/>
  <c r="K28" i="260" s="1"/>
  <c r="H23" i="260"/>
  <c r="E24" i="260"/>
  <c r="E23" i="260"/>
  <c r="E20" i="260"/>
  <c r="E19" i="260"/>
  <c r="E17" i="260"/>
  <c r="E16" i="260"/>
  <c r="E15" i="260"/>
  <c r="E10" i="260"/>
  <c r="E11" i="260"/>
  <c r="E12" i="260"/>
  <c r="E13" i="260"/>
  <c r="E9" i="260"/>
  <c r="G65" i="261"/>
  <c r="D65" i="261"/>
  <c r="G21" i="260"/>
  <c r="D21" i="260"/>
  <c r="G18" i="260"/>
  <c r="D18" i="260"/>
  <c r="G14" i="260"/>
  <c r="D14" i="260"/>
  <c r="J28" i="260"/>
  <c r="J20" i="260"/>
  <c r="J19" i="260"/>
  <c r="J17" i="260"/>
  <c r="J16" i="260"/>
  <c r="J15" i="260"/>
  <c r="J13" i="260"/>
  <c r="J12" i="260"/>
  <c r="J11" i="260"/>
  <c r="J10" i="260"/>
  <c r="J9" i="260"/>
  <c r="F51" i="261" l="1"/>
  <c r="K10" i="261"/>
  <c r="H22" i="261"/>
  <c r="K29" i="261"/>
  <c r="E32" i="261"/>
  <c r="K45" i="261"/>
  <c r="K43" i="261"/>
  <c r="AK27" i="240"/>
  <c r="AL12" i="240"/>
  <c r="E22" i="261"/>
  <c r="AL15" i="240"/>
  <c r="AL11" i="240"/>
  <c r="AK14" i="240"/>
  <c r="G50" i="261"/>
  <c r="G52" i="261" s="1"/>
  <c r="G55" i="261" s="1"/>
  <c r="D41" i="261"/>
  <c r="D50" i="261" s="1"/>
  <c r="K21" i="261"/>
  <c r="K22" i="261" s="1"/>
  <c r="K25" i="261"/>
  <c r="K26" i="261" s="1"/>
  <c r="K31" i="261"/>
  <c r="AL13" i="240"/>
  <c r="F33" i="261"/>
  <c r="K23" i="261"/>
  <c r="K24" i="261" s="1"/>
  <c r="K27" i="261"/>
  <c r="K28" i="261" s="1"/>
  <c r="K39" i="261"/>
  <c r="E40" i="261"/>
  <c r="K37" i="261"/>
  <c r="E27" i="260"/>
  <c r="H21" i="260"/>
  <c r="F41" i="261"/>
  <c r="F50" i="261" s="1"/>
  <c r="F52" i="261" s="1"/>
  <c r="F55" i="261" s="1"/>
  <c r="K18" i="261"/>
  <c r="K48" i="261"/>
  <c r="W22" i="240"/>
  <c r="AL10" i="240"/>
  <c r="AJ21" i="240"/>
  <c r="E64" i="261"/>
  <c r="D51" i="261"/>
  <c r="K46" i="261"/>
  <c r="K47" i="261" s="1"/>
  <c r="H27" i="260"/>
  <c r="H65" i="261" s="1"/>
  <c r="I64" i="261"/>
  <c r="J64" i="261"/>
  <c r="Z18" i="240"/>
  <c r="AI18" i="240"/>
  <c r="N21" i="240"/>
  <c r="AJ14" i="240"/>
  <c r="AK18" i="240"/>
  <c r="N18" i="240"/>
  <c r="AL17" i="240"/>
  <c r="AL18" i="240" s="1"/>
  <c r="AE22" i="240"/>
  <c r="AL9" i="240"/>
  <c r="C9" i="266"/>
  <c r="H64" i="261"/>
  <c r="K9" i="260"/>
  <c r="K16" i="260"/>
  <c r="K12" i="260"/>
  <c r="AL19" i="240"/>
  <c r="N14" i="240"/>
  <c r="AK21" i="240"/>
  <c r="V22" i="240"/>
  <c r="V56" i="239" s="1"/>
  <c r="V54" i="239" s="1"/>
  <c r="V67" i="239" s="1"/>
  <c r="AF22" i="240"/>
  <c r="AL20" i="240"/>
  <c r="K16" i="261"/>
  <c r="J22" i="261"/>
  <c r="J51" i="261" s="1"/>
  <c r="J32" i="261"/>
  <c r="J33" i="261" s="1"/>
  <c r="J40" i="261"/>
  <c r="H17" i="261"/>
  <c r="H19" i="261" s="1"/>
  <c r="H40" i="261"/>
  <c r="H18" i="260"/>
  <c r="G66" i="261"/>
  <c r="G22" i="260"/>
  <c r="G56" i="261" s="1"/>
  <c r="K23" i="260"/>
  <c r="D66" i="261"/>
  <c r="K62" i="261"/>
  <c r="C10" i="266" s="1"/>
  <c r="J17" i="261"/>
  <c r="J19" i="261" s="1"/>
  <c r="L22" i="240"/>
  <c r="J22" i="240"/>
  <c r="J56" i="239" s="1"/>
  <c r="K22" i="240"/>
  <c r="K20" i="260"/>
  <c r="J21" i="260"/>
  <c r="E21" i="260"/>
  <c r="K17" i="260"/>
  <c r="E18" i="260"/>
  <c r="K15" i="260"/>
  <c r="J18" i="260"/>
  <c r="D22" i="260"/>
  <c r="D56" i="261" s="1"/>
  <c r="K13" i="260"/>
  <c r="E14" i="260"/>
  <c r="E65" i="261"/>
  <c r="E66" i="261" s="1"/>
  <c r="J65" i="261"/>
  <c r="AL23" i="240"/>
  <c r="AL27" i="240" s="1"/>
  <c r="AI14" i="240"/>
  <c r="Z14" i="240"/>
  <c r="Z22" i="240" s="1"/>
  <c r="Z56" i="239" s="1"/>
  <c r="Z54" i="239" s="1"/>
  <c r="Z67" i="239" s="1"/>
  <c r="J14" i="260"/>
  <c r="AH14" i="240"/>
  <c r="AH22" i="240" s="1"/>
  <c r="AH56" i="239" s="1"/>
  <c r="AH54" i="239" s="1"/>
  <c r="AH67" i="239" s="1"/>
  <c r="Y22" i="240"/>
  <c r="M22" i="240"/>
  <c r="H51" i="261"/>
  <c r="E51" i="261"/>
  <c r="K35" i="261"/>
  <c r="K40" i="261" s="1"/>
  <c r="K36" i="261"/>
  <c r="K32" i="261"/>
  <c r="K33" i="261" s="1"/>
  <c r="H33" i="261"/>
  <c r="E28" i="261"/>
  <c r="E33" i="261" s="1"/>
  <c r="E41" i="261" s="1"/>
  <c r="E17" i="261"/>
  <c r="E19" i="261" s="1"/>
  <c r="K9" i="261"/>
  <c r="K11" i="260"/>
  <c r="H14" i="260"/>
  <c r="K10" i="260"/>
  <c r="K24" i="260"/>
  <c r="K19" i="260"/>
  <c r="D230" i="233"/>
  <c r="D229" i="233" s="1"/>
  <c r="G242" i="233"/>
  <c r="G229" i="233"/>
  <c r="G97" i="233"/>
  <c r="G80" i="233"/>
  <c r="G73" i="233"/>
  <c r="G68" i="233"/>
  <c r="G65" i="233"/>
  <c r="G9" i="233"/>
  <c r="G6" i="233"/>
  <c r="F242" i="233"/>
  <c r="F229" i="233"/>
  <c r="F97" i="233"/>
  <c r="F80" i="233"/>
  <c r="F73" i="233"/>
  <c r="F68" i="233"/>
  <c r="F65" i="233"/>
  <c r="F9" i="233"/>
  <c r="F6" i="233"/>
  <c r="O246" i="244"/>
  <c r="P246" i="244" s="1"/>
  <c r="O216" i="244"/>
  <c r="P216" i="244" s="1"/>
  <c r="O215" i="244"/>
  <c r="P215" i="244" s="1"/>
  <c r="O213" i="244"/>
  <c r="P213" i="244" s="1"/>
  <c r="K268" i="244"/>
  <c r="K270" i="244" s="1"/>
  <c r="I268" i="244"/>
  <c r="I270" i="244" s="1"/>
  <c r="G268" i="244"/>
  <c r="G270" i="244" s="1"/>
  <c r="F268" i="244"/>
  <c r="F270" i="244" s="1"/>
  <c r="E268" i="244"/>
  <c r="E270" i="244" s="1"/>
  <c r="D268" i="244"/>
  <c r="D270" i="244" s="1"/>
  <c r="C268" i="244"/>
  <c r="C270" i="244" s="1"/>
  <c r="L158" i="244"/>
  <c r="L208" i="244" s="1"/>
  <c r="H158" i="244"/>
  <c r="H208" i="244" s="1"/>
  <c r="O8" i="244"/>
  <c r="L8" i="244"/>
  <c r="H8" i="244"/>
  <c r="K64" i="261" l="1"/>
  <c r="D52" i="261"/>
  <c r="D55" i="261" s="1"/>
  <c r="D54" i="261" s="1"/>
  <c r="D67" i="261" s="1"/>
  <c r="G54" i="261"/>
  <c r="G67" i="261" s="1"/>
  <c r="K17" i="261"/>
  <c r="K19" i="261" s="1"/>
  <c r="AK22" i="240"/>
  <c r="F5" i="233"/>
  <c r="F240" i="233" s="1"/>
  <c r="F259" i="233" s="1"/>
  <c r="H41" i="261"/>
  <c r="J41" i="261"/>
  <c r="K27" i="260"/>
  <c r="J50" i="261"/>
  <c r="J52" i="261" s="1"/>
  <c r="J55" i="261" s="1"/>
  <c r="AL14" i="240"/>
  <c r="N22" i="240"/>
  <c r="AJ22" i="240"/>
  <c r="H66" i="261"/>
  <c r="G5" i="233"/>
  <c r="G240" i="233" s="1"/>
  <c r="G259" i="233" s="1"/>
  <c r="H268" i="244"/>
  <c r="H270" i="244" s="1"/>
  <c r="L268" i="244"/>
  <c r="L270" i="244" s="1"/>
  <c r="H50" i="261"/>
  <c r="H52" i="261" s="1"/>
  <c r="H55" i="261" s="1"/>
  <c r="AI22" i="240"/>
  <c r="AL21" i="240"/>
  <c r="H22" i="260"/>
  <c r="H56" i="261" s="1"/>
  <c r="C15" i="266"/>
  <c r="C8" i="266"/>
  <c r="C12" i="266" s="1"/>
  <c r="K51" i="261"/>
  <c r="K18" i="260"/>
  <c r="C16" i="266"/>
  <c r="J54" i="239"/>
  <c r="J67" i="239" s="1"/>
  <c r="K21" i="260"/>
  <c r="E22" i="260"/>
  <c r="E56" i="261" s="1"/>
  <c r="J56" i="261"/>
  <c r="J22" i="260"/>
  <c r="J66" i="261"/>
  <c r="K14" i="260"/>
  <c r="K41" i="261"/>
  <c r="E50" i="261"/>
  <c r="E52" i="261" s="1"/>
  <c r="E55" i="261" s="1"/>
  <c r="M270" i="244"/>
  <c r="O267" i="244"/>
  <c r="P267" i="244" s="1"/>
  <c r="P158" i="244"/>
  <c r="P208" i="244" s="1"/>
  <c r="N268" i="244"/>
  <c r="N270" i="244" s="1"/>
  <c r="P8" i="244"/>
  <c r="J268" i="244"/>
  <c r="J270" i="244" s="1"/>
  <c r="K50" i="261" l="1"/>
  <c r="K52" i="261" s="1"/>
  <c r="K55" i="261" s="1"/>
  <c r="C7" i="266" s="1"/>
  <c r="AL22" i="240"/>
  <c r="AL56" i="239" s="1"/>
  <c r="AL54" i="239" s="1"/>
  <c r="AL67" i="239" s="1"/>
  <c r="C19" i="266"/>
  <c r="H54" i="261"/>
  <c r="H67" i="261" s="1"/>
  <c r="K56" i="261"/>
  <c r="P268" i="244"/>
  <c r="P270" i="244" s="1"/>
  <c r="K22" i="260"/>
  <c r="C14" i="266" s="1"/>
  <c r="E54" i="261"/>
  <c r="E67" i="261" s="1"/>
  <c r="O268" i="244"/>
  <c r="O270" i="244" s="1"/>
  <c r="AD28" i="240"/>
  <c r="E248" i="233" l="1"/>
  <c r="D80" i="233"/>
  <c r="E234" i="233"/>
  <c r="E212" i="233"/>
  <c r="E213" i="233"/>
  <c r="E214" i="233"/>
  <c r="E215" i="233"/>
  <c r="E201" i="233"/>
  <c r="E182" i="233"/>
  <c r="E183" i="233"/>
  <c r="E184" i="233"/>
  <c r="E185" i="233"/>
  <c r="E187" i="233"/>
  <c r="E173" i="233"/>
  <c r="E174" i="233"/>
  <c r="E175" i="233"/>
  <c r="E177" i="233"/>
  <c r="E178" i="233"/>
  <c r="E180" i="233"/>
  <c r="E172" i="233"/>
  <c r="E160" i="233"/>
  <c r="E161" i="233"/>
  <c r="E162" i="233"/>
  <c r="E163" i="233"/>
  <c r="E164" i="233"/>
  <c r="E110" i="233"/>
  <c r="E111" i="233"/>
  <c r="E112" i="233"/>
  <c r="E106" i="233"/>
  <c r="E107" i="233"/>
  <c r="E108" i="233"/>
  <c r="E109" i="233"/>
  <c r="E96" i="233"/>
  <c r="E89" i="233"/>
  <c r="D73" i="233"/>
  <c r="E63" i="233"/>
  <c r="E44" i="233"/>
  <c r="E43" i="233"/>
  <c r="E42" i="233"/>
  <c r="E41" i="233"/>
  <c r="E35" i="233"/>
  <c r="D6" i="233"/>
  <c r="E8" i="233"/>
  <c r="P44" i="239" l="1"/>
  <c r="X44" i="239" s="1"/>
  <c r="AJ44" i="239" s="1"/>
  <c r="O44" i="239"/>
  <c r="W44" i="239" s="1"/>
  <c r="Z44" i="239" l="1"/>
  <c r="AI44" i="239"/>
  <c r="AL44" i="239" s="1"/>
  <c r="I9" i="260"/>
  <c r="D90" i="257" l="1"/>
  <c r="D98" i="257" l="1"/>
  <c r="D99" i="257"/>
  <c r="D121" i="257" l="1"/>
  <c r="D120" i="257"/>
  <c r="D117" i="257"/>
  <c r="D115" i="257"/>
  <c r="D113" i="257"/>
  <c r="D112" i="257"/>
  <c r="D110" i="257"/>
  <c r="D109" i="257"/>
  <c r="C105" i="257"/>
  <c r="D104" i="257"/>
  <c r="D103" i="257"/>
  <c r="D102" i="257"/>
  <c r="D101" i="257"/>
  <c r="D100" i="257"/>
  <c r="D97" i="257"/>
  <c r="D91" i="257"/>
  <c r="D89" i="257"/>
  <c r="D88" i="257"/>
  <c r="D87" i="257"/>
  <c r="D86" i="257"/>
  <c r="D85" i="257"/>
  <c r="D84" i="257"/>
  <c r="D83" i="257"/>
  <c r="D82" i="257"/>
  <c r="D80" i="257"/>
  <c r="D79" i="257"/>
  <c r="D78" i="257"/>
  <c r="D77" i="257"/>
  <c r="D76" i="257"/>
  <c r="D75" i="257"/>
  <c r="D74" i="257"/>
  <c r="D73" i="257"/>
  <c r="D72" i="257"/>
  <c r="D71" i="257"/>
  <c r="D70" i="257"/>
  <c r="D69" i="257"/>
  <c r="D65" i="257"/>
  <c r="D64" i="257"/>
  <c r="D63" i="257"/>
  <c r="D62" i="257"/>
  <c r="D61" i="257"/>
  <c r="D60" i="257"/>
  <c r="D59" i="257"/>
  <c r="D58" i="257"/>
  <c r="D53" i="257"/>
  <c r="D52" i="257"/>
  <c r="D51" i="257"/>
  <c r="D49" i="257"/>
  <c r="D48" i="257"/>
  <c r="D46" i="257"/>
  <c r="D45" i="257"/>
  <c r="D44" i="257"/>
  <c r="D43" i="257"/>
  <c r="D42" i="257"/>
  <c r="D41" i="257"/>
  <c r="D40" i="257"/>
  <c r="D39" i="257"/>
  <c r="D38" i="257"/>
  <c r="D37" i="257"/>
  <c r="D36" i="257"/>
  <c r="D35" i="257"/>
  <c r="D34" i="257"/>
  <c r="D33" i="257"/>
  <c r="D32" i="257"/>
  <c r="C31" i="257"/>
  <c r="D30" i="257"/>
  <c r="D22" i="257"/>
  <c r="D29" i="257"/>
  <c r="D28" i="257"/>
  <c r="D27" i="257"/>
  <c r="D26" i="257"/>
  <c r="D25" i="257"/>
  <c r="D24" i="257"/>
  <c r="D23" i="257"/>
  <c r="D21" i="257"/>
  <c r="D20" i="257"/>
  <c r="D19" i="257"/>
  <c r="D18" i="257"/>
  <c r="C17" i="257"/>
  <c r="C55" i="257" s="1"/>
  <c r="D16" i="257"/>
  <c r="D14" i="257"/>
  <c r="C11" i="257"/>
  <c r="D10" i="257"/>
  <c r="D9" i="257"/>
  <c r="D11" i="257" l="1"/>
  <c r="D122" i="257"/>
  <c r="B124" i="257"/>
  <c r="D17" i="257"/>
  <c r="D105" i="257"/>
  <c r="D66" i="257"/>
  <c r="C124" i="257"/>
  <c r="D31" i="257"/>
  <c r="D55" i="257" l="1"/>
  <c r="D124" i="257" s="1"/>
  <c r="E62" i="233" l="1"/>
  <c r="E159" i="233"/>
  <c r="E121" i="233"/>
  <c r="E45" i="233"/>
  <c r="E39" i="233"/>
  <c r="E38" i="233"/>
  <c r="F65" i="261"/>
  <c r="C65" i="261"/>
  <c r="E258" i="233"/>
  <c r="E257" i="233"/>
  <c r="E256" i="233"/>
  <c r="E250" i="233"/>
  <c r="E249" i="233"/>
  <c r="E247" i="233"/>
  <c r="E246" i="233"/>
  <c r="E245" i="233"/>
  <c r="E244" i="233"/>
  <c r="E241" i="233"/>
  <c r="E239" i="233"/>
  <c r="E238" i="233"/>
  <c r="E236" i="233"/>
  <c r="E235" i="233"/>
  <c r="E233" i="233"/>
  <c r="E232" i="233"/>
  <c r="E231" i="233"/>
  <c r="E222" i="233"/>
  <c r="E221" i="233"/>
  <c r="E217" i="233"/>
  <c r="E216" i="233"/>
  <c r="E211" i="233"/>
  <c r="E210" i="233"/>
  <c r="E209" i="233"/>
  <c r="E208" i="233"/>
  <c r="E207" i="233"/>
  <c r="E206" i="233"/>
  <c r="E205" i="233"/>
  <c r="E204" i="233"/>
  <c r="E203" i="233"/>
  <c r="E200" i="233"/>
  <c r="E198" i="233"/>
  <c r="E197" i="233"/>
  <c r="E195" i="233"/>
  <c r="E194" i="233"/>
  <c r="E193" i="233"/>
  <c r="E192" i="233"/>
  <c r="E191" i="233"/>
  <c r="E190" i="233"/>
  <c r="E189" i="233"/>
  <c r="E188" i="233"/>
  <c r="E181" i="233"/>
  <c r="E171" i="233"/>
  <c r="E170" i="233"/>
  <c r="E169" i="233"/>
  <c r="E168" i="233"/>
  <c r="E167" i="233"/>
  <c r="E166" i="233"/>
  <c r="E165" i="233"/>
  <c r="E158" i="233"/>
  <c r="E157" i="233"/>
  <c r="E156" i="233"/>
  <c r="E155" i="233"/>
  <c r="E154" i="233"/>
  <c r="E152" i="233"/>
  <c r="E151" i="233"/>
  <c r="E149" i="233"/>
  <c r="E148" i="233"/>
  <c r="E147" i="233"/>
  <c r="E146" i="233"/>
  <c r="E145" i="233"/>
  <c r="E144" i="233"/>
  <c r="E143" i="233"/>
  <c r="E142" i="233"/>
  <c r="E141" i="233"/>
  <c r="E140" i="233"/>
  <c r="E139" i="233"/>
  <c r="E138" i="233"/>
  <c r="E137" i="233"/>
  <c r="E136" i="233"/>
  <c r="E135" i="233"/>
  <c r="E134" i="233"/>
  <c r="E133" i="233"/>
  <c r="E131" i="233"/>
  <c r="E130" i="233"/>
  <c r="E129" i="233"/>
  <c r="E128" i="233"/>
  <c r="E126" i="233"/>
  <c r="E125" i="233"/>
  <c r="E124" i="233"/>
  <c r="E123" i="233"/>
  <c r="E120" i="233"/>
  <c r="E119" i="233"/>
  <c r="E118" i="233"/>
  <c r="E117" i="233"/>
  <c r="E116" i="233"/>
  <c r="E115" i="233"/>
  <c r="E114" i="233"/>
  <c r="E113" i="233"/>
  <c r="E105" i="233"/>
  <c r="E104" i="233"/>
  <c r="E103" i="233"/>
  <c r="E102" i="233"/>
  <c r="E101" i="233"/>
  <c r="E100" i="233"/>
  <c r="E99" i="233"/>
  <c r="D97" i="233"/>
  <c r="E95" i="233"/>
  <c r="E94" i="233"/>
  <c r="E93" i="233"/>
  <c r="E92" i="233"/>
  <c r="E91" i="233"/>
  <c r="E90" i="233"/>
  <c r="E88" i="233"/>
  <c r="E87" i="233"/>
  <c r="E86" i="233"/>
  <c r="E85" i="233"/>
  <c r="E84" i="233"/>
  <c r="E83" i="233"/>
  <c r="E82" i="233"/>
  <c r="E79" i="233"/>
  <c r="E78" i="233"/>
  <c r="E75" i="233"/>
  <c r="E71" i="233"/>
  <c r="E70" i="233"/>
  <c r="E67" i="233"/>
  <c r="E66" i="233"/>
  <c r="D65" i="233"/>
  <c r="E64" i="233"/>
  <c r="E61" i="233"/>
  <c r="E60" i="233"/>
  <c r="E59" i="233"/>
  <c r="E57" i="233"/>
  <c r="E56" i="233"/>
  <c r="E55" i="233"/>
  <c r="E53" i="233"/>
  <c r="E52" i="233"/>
  <c r="E51" i="233"/>
  <c r="E49" i="233"/>
  <c r="E48" i="233"/>
  <c r="E37" i="233"/>
  <c r="E36" i="233"/>
  <c r="E34" i="233"/>
  <c r="E33" i="233"/>
  <c r="E32" i="233"/>
  <c r="E31" i="233"/>
  <c r="E30" i="233"/>
  <c r="E29" i="233"/>
  <c r="E28" i="233"/>
  <c r="E25" i="233"/>
  <c r="E22" i="233"/>
  <c r="E21" i="233"/>
  <c r="E20" i="233"/>
  <c r="E19" i="233"/>
  <c r="E18" i="233"/>
  <c r="E17" i="233"/>
  <c r="E16" i="233"/>
  <c r="E15" i="233"/>
  <c r="E14" i="233"/>
  <c r="E13" i="233"/>
  <c r="E12" i="233"/>
  <c r="E11" i="233"/>
  <c r="E10" i="233"/>
  <c r="D9" i="233"/>
  <c r="D5" i="233" s="1"/>
  <c r="E7" i="233"/>
  <c r="E6" i="233" s="1"/>
  <c r="B30" i="253"/>
  <c r="I28" i="260"/>
  <c r="AC61" i="239"/>
  <c r="AA61" i="239"/>
  <c r="R61" i="239"/>
  <c r="E35" i="253"/>
  <c r="E74" i="233"/>
  <c r="E228" i="233"/>
  <c r="E69" i="233"/>
  <c r="E237" i="233"/>
  <c r="E50" i="233"/>
  <c r="E54" i="233"/>
  <c r="E58" i="233"/>
  <c r="E72" i="233"/>
  <c r="E98" i="233"/>
  <c r="E202" i="233"/>
  <c r="E230" i="233"/>
  <c r="E243" i="233"/>
  <c r="D68" i="233"/>
  <c r="E19" i="253"/>
  <c r="C40" i="261"/>
  <c r="I38" i="261"/>
  <c r="I39" i="261"/>
  <c r="F60" i="261"/>
  <c r="F64" i="261" s="1"/>
  <c r="C60" i="261"/>
  <c r="C64" i="261" s="1"/>
  <c r="AC24" i="240"/>
  <c r="AB24" i="240"/>
  <c r="AA24" i="240"/>
  <c r="R24" i="240"/>
  <c r="F24" i="240"/>
  <c r="AC23" i="240"/>
  <c r="AC27" i="240" s="1"/>
  <c r="AB23" i="240"/>
  <c r="AA23" i="240"/>
  <c r="R23" i="240"/>
  <c r="F23" i="240"/>
  <c r="F27" i="240" s="1"/>
  <c r="D40" i="239"/>
  <c r="E40" i="239"/>
  <c r="O40" i="239"/>
  <c r="P40" i="239"/>
  <c r="Q40" i="239"/>
  <c r="C40" i="239"/>
  <c r="AA38" i="239"/>
  <c r="AB38" i="239"/>
  <c r="AC38" i="239"/>
  <c r="AA39" i="239"/>
  <c r="AB39" i="239"/>
  <c r="AC39" i="239"/>
  <c r="F38" i="239"/>
  <c r="F39" i="239"/>
  <c r="AC65" i="239"/>
  <c r="AB65" i="239"/>
  <c r="AA65" i="239"/>
  <c r="R65" i="239"/>
  <c r="F65" i="239"/>
  <c r="AB62" i="239"/>
  <c r="AA62" i="239"/>
  <c r="R62" i="239"/>
  <c r="F62" i="239"/>
  <c r="AB61" i="239"/>
  <c r="AC60" i="239"/>
  <c r="Q60" i="239"/>
  <c r="Q64" i="239" s="1"/>
  <c r="P60" i="239"/>
  <c r="P64" i="239" s="1"/>
  <c r="O60" i="239"/>
  <c r="O64" i="239" s="1"/>
  <c r="E60" i="239"/>
  <c r="E64" i="239" s="1"/>
  <c r="D60" i="239"/>
  <c r="D64" i="239" s="1"/>
  <c r="C60" i="239"/>
  <c r="C64" i="239" s="1"/>
  <c r="AB59" i="239"/>
  <c r="AB60" i="239" s="1"/>
  <c r="AA59" i="239"/>
  <c r="AD59" i="239" s="1"/>
  <c r="R59" i="239"/>
  <c r="F59" i="239"/>
  <c r="AB58" i="239"/>
  <c r="AA58" i="239"/>
  <c r="R58" i="239"/>
  <c r="R60" i="239" s="1"/>
  <c r="F58" i="239"/>
  <c r="F60" i="239" s="1"/>
  <c r="F64" i="239" s="1"/>
  <c r="B35" i="253"/>
  <c r="E12" i="253"/>
  <c r="R20" i="239"/>
  <c r="R21" i="239"/>
  <c r="C22" i="261"/>
  <c r="I21" i="261"/>
  <c r="AA21" i="239"/>
  <c r="AB21" i="239"/>
  <c r="AC21" i="239"/>
  <c r="D22" i="239"/>
  <c r="E22" i="239"/>
  <c r="O22" i="239"/>
  <c r="P22" i="239"/>
  <c r="Q22" i="239"/>
  <c r="C22" i="239"/>
  <c r="F21" i="239"/>
  <c r="F18" i="239"/>
  <c r="R18" i="239"/>
  <c r="AC18" i="239"/>
  <c r="AB18" i="239"/>
  <c r="AA18" i="239"/>
  <c r="C26" i="239"/>
  <c r="F42" i="239"/>
  <c r="R49" i="239"/>
  <c r="R46" i="239"/>
  <c r="R47" i="239" s="1"/>
  <c r="R44" i="239"/>
  <c r="R45" i="239"/>
  <c r="R43" i="239"/>
  <c r="F44" i="239"/>
  <c r="F45" i="239"/>
  <c r="F43" i="239"/>
  <c r="R42" i="239"/>
  <c r="R34" i="239"/>
  <c r="R40" i="239" s="1"/>
  <c r="D14" i="240"/>
  <c r="E14" i="240"/>
  <c r="O14" i="240"/>
  <c r="P14" i="240"/>
  <c r="Q14" i="240"/>
  <c r="C14" i="240"/>
  <c r="AC45" i="239"/>
  <c r="AB45" i="239"/>
  <c r="AA45" i="239"/>
  <c r="AC44" i="239"/>
  <c r="AB44" i="239"/>
  <c r="AA44" i="239"/>
  <c r="AC43" i="239"/>
  <c r="AB43" i="239"/>
  <c r="AA43" i="239"/>
  <c r="AC42" i="239"/>
  <c r="AB42" i="239"/>
  <c r="AA42" i="239"/>
  <c r="D21" i="240"/>
  <c r="E21" i="240"/>
  <c r="O21" i="240"/>
  <c r="P21" i="240"/>
  <c r="Q21" i="240"/>
  <c r="C21" i="240"/>
  <c r="F21" i="260"/>
  <c r="C21" i="260"/>
  <c r="I10" i="260"/>
  <c r="I15" i="260"/>
  <c r="I49" i="261"/>
  <c r="C47" i="261"/>
  <c r="I47" i="261"/>
  <c r="I37" i="261"/>
  <c r="I36" i="261"/>
  <c r="I35" i="261"/>
  <c r="I34" i="261"/>
  <c r="C32" i="261"/>
  <c r="I31" i="261"/>
  <c r="I30" i="261"/>
  <c r="I29" i="261"/>
  <c r="C28" i="261"/>
  <c r="I27" i="261"/>
  <c r="I28" i="261" s="1"/>
  <c r="C26" i="261"/>
  <c r="I25" i="261"/>
  <c r="I26" i="261" s="1"/>
  <c r="C24" i="261"/>
  <c r="I23" i="261"/>
  <c r="I24" i="261" s="1"/>
  <c r="I20" i="261"/>
  <c r="C17" i="261"/>
  <c r="C19" i="261" s="1"/>
  <c r="I16" i="261"/>
  <c r="I15" i="261"/>
  <c r="I14" i="261"/>
  <c r="I13" i="261"/>
  <c r="I12" i="261"/>
  <c r="I11" i="261"/>
  <c r="I10" i="261"/>
  <c r="I9" i="261"/>
  <c r="D47" i="239"/>
  <c r="E47" i="239"/>
  <c r="O47" i="239"/>
  <c r="P47" i="239"/>
  <c r="P51" i="239" s="1"/>
  <c r="Q47" i="239"/>
  <c r="C47" i="239"/>
  <c r="D32" i="239"/>
  <c r="E32" i="239"/>
  <c r="O32" i="239"/>
  <c r="P32" i="239"/>
  <c r="Q32" i="239"/>
  <c r="C32" i="239"/>
  <c r="D28" i="239"/>
  <c r="E28" i="239"/>
  <c r="O28" i="239"/>
  <c r="P28" i="239"/>
  <c r="Q28" i="239"/>
  <c r="C28" i="239"/>
  <c r="D26" i="239"/>
  <c r="E26" i="239"/>
  <c r="O26" i="239"/>
  <c r="P26" i="239"/>
  <c r="Q26" i="239"/>
  <c r="D24" i="239"/>
  <c r="E24" i="239"/>
  <c r="O24" i="239"/>
  <c r="P24" i="239"/>
  <c r="Q24" i="239"/>
  <c r="R24" i="239"/>
  <c r="C24" i="239"/>
  <c r="D17" i="239"/>
  <c r="D19" i="239" s="1"/>
  <c r="E17" i="239"/>
  <c r="E19" i="239" s="1"/>
  <c r="O17" i="239"/>
  <c r="O19" i="239" s="1"/>
  <c r="P17" i="239"/>
  <c r="P19" i="239" s="1"/>
  <c r="Q17" i="239"/>
  <c r="Q19" i="239" s="1"/>
  <c r="R17" i="239"/>
  <c r="C17" i="239"/>
  <c r="C19" i="239" s="1"/>
  <c r="C18" i="260"/>
  <c r="I20" i="260"/>
  <c r="I19" i="260"/>
  <c r="F18" i="260"/>
  <c r="I17" i="260"/>
  <c r="I16" i="260"/>
  <c r="C14" i="260"/>
  <c r="I13" i="260"/>
  <c r="I12" i="260"/>
  <c r="AC31" i="239"/>
  <c r="AB31" i="239"/>
  <c r="AA31" i="239"/>
  <c r="R31" i="239"/>
  <c r="R32" i="239" s="1"/>
  <c r="F31" i="239"/>
  <c r="AA48" i="239"/>
  <c r="R48" i="239"/>
  <c r="AC11" i="240"/>
  <c r="AC10" i="240"/>
  <c r="E30" i="253"/>
  <c r="F9" i="240"/>
  <c r="AA9" i="240"/>
  <c r="AC9" i="240"/>
  <c r="F10" i="240"/>
  <c r="AA10" i="240"/>
  <c r="AB10" i="240"/>
  <c r="F11" i="240"/>
  <c r="R11" i="240"/>
  <c r="AB11" i="240"/>
  <c r="F13" i="240"/>
  <c r="R13" i="240"/>
  <c r="AA13" i="240"/>
  <c r="AB13" i="240"/>
  <c r="AC13" i="240"/>
  <c r="F12" i="240"/>
  <c r="R12" i="240"/>
  <c r="AA12" i="240"/>
  <c r="AB12" i="240"/>
  <c r="AC12" i="240"/>
  <c r="F15" i="240"/>
  <c r="R15" i="240"/>
  <c r="AA15" i="240"/>
  <c r="AB15" i="240"/>
  <c r="AC15" i="240"/>
  <c r="F16" i="240"/>
  <c r="R16" i="240"/>
  <c r="AA16" i="240"/>
  <c r="AB16" i="240"/>
  <c r="AC16" i="240"/>
  <c r="F17" i="240"/>
  <c r="R17" i="240"/>
  <c r="AA17" i="240"/>
  <c r="AB17" i="240"/>
  <c r="AC17" i="240"/>
  <c r="C18" i="240"/>
  <c r="D18" i="240"/>
  <c r="E18" i="240"/>
  <c r="O18" i="240"/>
  <c r="P18" i="240"/>
  <c r="Q18" i="240"/>
  <c r="F19" i="240"/>
  <c r="R19" i="240"/>
  <c r="AA19" i="240"/>
  <c r="AA21" i="240" s="1"/>
  <c r="AB19" i="240"/>
  <c r="AC19" i="240"/>
  <c r="F20" i="240"/>
  <c r="R20" i="240"/>
  <c r="R21" i="240" s="1"/>
  <c r="AA20" i="240"/>
  <c r="AB20" i="240"/>
  <c r="AC20" i="240"/>
  <c r="F34" i="239"/>
  <c r="AA34" i="239"/>
  <c r="AB34" i="239"/>
  <c r="AC34" i="239"/>
  <c r="F27" i="239"/>
  <c r="F28" i="239" s="1"/>
  <c r="R27" i="239"/>
  <c r="R28" i="239" s="1"/>
  <c r="R33" i="239" s="1"/>
  <c r="AA27" i="239"/>
  <c r="AA28" i="239" s="1"/>
  <c r="AB27" i="239"/>
  <c r="AB28" i="239" s="1"/>
  <c r="AC27" i="239"/>
  <c r="AC28" i="239" s="1"/>
  <c r="F25" i="239"/>
  <c r="F26" i="239" s="1"/>
  <c r="R25" i="239"/>
  <c r="R26" i="239" s="1"/>
  <c r="AA25" i="239"/>
  <c r="AA26" i="239" s="1"/>
  <c r="AB25" i="239"/>
  <c r="AB26" i="239" s="1"/>
  <c r="AC25" i="239"/>
  <c r="AC26" i="239" s="1"/>
  <c r="F37" i="239"/>
  <c r="AA37" i="239"/>
  <c r="AB37" i="239"/>
  <c r="AC37" i="239"/>
  <c r="F23" i="239"/>
  <c r="F24" i="239" s="1"/>
  <c r="AA23" i="239"/>
  <c r="AA24" i="239" s="1"/>
  <c r="AB23" i="239"/>
  <c r="AB24" i="239" s="1"/>
  <c r="AC23" i="239"/>
  <c r="AC24" i="239" s="1"/>
  <c r="F29" i="239"/>
  <c r="AA29" i="239"/>
  <c r="AB29" i="239"/>
  <c r="AC29" i="239"/>
  <c r="F35" i="239"/>
  <c r="AA35" i="239"/>
  <c r="AB35" i="239"/>
  <c r="AC35" i="239"/>
  <c r="F36" i="239"/>
  <c r="AA36" i="239"/>
  <c r="AB36" i="239"/>
  <c r="AC36" i="239"/>
  <c r="F30" i="239"/>
  <c r="F32" i="239" s="1"/>
  <c r="AA30" i="239"/>
  <c r="AB30" i="239"/>
  <c r="AB32" i="239" s="1"/>
  <c r="AC30" i="239"/>
  <c r="F9" i="239"/>
  <c r="AA9" i="239"/>
  <c r="AB9" i="239"/>
  <c r="AC9" i="239"/>
  <c r="F10" i="239"/>
  <c r="AA10" i="239"/>
  <c r="AB10" i="239"/>
  <c r="AC10" i="239"/>
  <c r="AB11" i="239"/>
  <c r="AC11" i="239"/>
  <c r="F12" i="239"/>
  <c r="AD12" i="239" s="1"/>
  <c r="AA12" i="239"/>
  <c r="AB12" i="239"/>
  <c r="AC12" i="239"/>
  <c r="F13" i="239"/>
  <c r="AD13" i="239" s="1"/>
  <c r="AA13" i="239"/>
  <c r="AB13" i="239"/>
  <c r="AC13" i="239"/>
  <c r="F14" i="239"/>
  <c r="AD14" i="239" s="1"/>
  <c r="AA14" i="239"/>
  <c r="AB14" i="239"/>
  <c r="AC14" i="239"/>
  <c r="F15" i="239"/>
  <c r="AD15" i="239" s="1"/>
  <c r="AA15" i="239"/>
  <c r="AB15" i="239"/>
  <c r="AC15" i="239"/>
  <c r="F16" i="239"/>
  <c r="AD16" i="239" s="1"/>
  <c r="AA16" i="239"/>
  <c r="AB16" i="239"/>
  <c r="AC16" i="239"/>
  <c r="F48" i="239"/>
  <c r="AC48" i="239"/>
  <c r="F46" i="239"/>
  <c r="F47" i="239" s="1"/>
  <c r="AA46" i="239"/>
  <c r="AA47" i="239" s="1"/>
  <c r="AB46" i="239"/>
  <c r="AB47" i="239" s="1"/>
  <c r="AC46" i="239"/>
  <c r="AC47" i="239" s="1"/>
  <c r="F20" i="239"/>
  <c r="AA20" i="239"/>
  <c r="AB20" i="239"/>
  <c r="AC20" i="239"/>
  <c r="AC22" i="239" s="1"/>
  <c r="F49" i="239"/>
  <c r="AA49" i="239"/>
  <c r="AB49" i="239"/>
  <c r="AC49" i="239"/>
  <c r="AB48" i="239"/>
  <c r="F11" i="239"/>
  <c r="AA11" i="239"/>
  <c r="R9" i="240"/>
  <c r="AA11" i="240"/>
  <c r="AB9" i="240"/>
  <c r="B12" i="253"/>
  <c r="R10" i="240"/>
  <c r="I11" i="260"/>
  <c r="F14" i="260"/>
  <c r="D33" i="239"/>
  <c r="AD21" i="239"/>
  <c r="E81" i="233"/>
  <c r="AD19" i="240" l="1"/>
  <c r="Q51" i="239"/>
  <c r="AA60" i="239"/>
  <c r="AA27" i="240"/>
  <c r="AD24" i="240"/>
  <c r="AC64" i="239"/>
  <c r="C51" i="261"/>
  <c r="AB27" i="240"/>
  <c r="AA64" i="239"/>
  <c r="AB64" i="239"/>
  <c r="R18" i="240"/>
  <c r="I17" i="261"/>
  <c r="I22" i="261"/>
  <c r="I51" i="261" s="1"/>
  <c r="I32" i="261"/>
  <c r="I33" i="261" s="1"/>
  <c r="R22" i="239"/>
  <c r="F66" i="239"/>
  <c r="R27" i="240"/>
  <c r="F22" i="260"/>
  <c r="F56" i="261" s="1"/>
  <c r="F54" i="261" s="1"/>
  <c r="I21" i="260"/>
  <c r="AC17" i="239"/>
  <c r="F66" i="261"/>
  <c r="K65" i="261"/>
  <c r="K66" i="261" s="1"/>
  <c r="I65" i="261"/>
  <c r="E33" i="239"/>
  <c r="R64" i="239"/>
  <c r="R66" i="239" s="1"/>
  <c r="AD29" i="239"/>
  <c r="AD31" i="239"/>
  <c r="E41" i="239"/>
  <c r="E50" i="239" s="1"/>
  <c r="Q33" i="239"/>
  <c r="Q41" i="239" s="1"/>
  <c r="Q50" i="239" s="1"/>
  <c r="Q52" i="239" s="1"/>
  <c r="AD37" i="239"/>
  <c r="P33" i="239"/>
  <c r="P41" i="239" s="1"/>
  <c r="P50" i="239" s="1"/>
  <c r="P52" i="239" s="1"/>
  <c r="AD38" i="239"/>
  <c r="AC18" i="240"/>
  <c r="E22" i="240"/>
  <c r="K54" i="261"/>
  <c r="J54" i="261"/>
  <c r="J67" i="261" s="1"/>
  <c r="B43" i="253"/>
  <c r="F30" i="253"/>
  <c r="F19" i="253"/>
  <c r="D240" i="233"/>
  <c r="D259" i="233" s="1"/>
  <c r="E229" i="233"/>
  <c r="E80" i="233"/>
  <c r="E65" i="233"/>
  <c r="E73" i="233"/>
  <c r="E68" i="233"/>
  <c r="E97" i="233"/>
  <c r="E242" i="233"/>
  <c r="E9" i="233"/>
  <c r="E5" i="233"/>
  <c r="B40" i="253"/>
  <c r="F21" i="240"/>
  <c r="AD20" i="240"/>
  <c r="AD21" i="240" s="1"/>
  <c r="D22" i="240"/>
  <c r="I14" i="260"/>
  <c r="F35" i="253"/>
  <c r="AC19" i="239"/>
  <c r="Q22" i="240"/>
  <c r="R14" i="240"/>
  <c r="O22" i="240"/>
  <c r="I18" i="260"/>
  <c r="AD62" i="239"/>
  <c r="C51" i="239"/>
  <c r="F12" i="253"/>
  <c r="F33" i="239"/>
  <c r="C33" i="239"/>
  <c r="C41" i="239" s="1"/>
  <c r="C50" i="239" s="1"/>
  <c r="AD27" i="239"/>
  <c r="AD28" i="239" s="1"/>
  <c r="F22" i="239"/>
  <c r="F51" i="239" s="1"/>
  <c r="I40" i="261"/>
  <c r="I19" i="261"/>
  <c r="AD9" i="239"/>
  <c r="AD30" i="239"/>
  <c r="AD36" i="239"/>
  <c r="AD35" i="239"/>
  <c r="AD65" i="239"/>
  <c r="AD49" i="239"/>
  <c r="AD42" i="239"/>
  <c r="R19" i="239"/>
  <c r="E51" i="239"/>
  <c r="E52" i="239" s="1"/>
  <c r="AC51" i="239"/>
  <c r="AC40" i="239"/>
  <c r="AB22" i="239"/>
  <c r="AB51" i="239" s="1"/>
  <c r="AB33" i="239"/>
  <c r="AD25" i="239"/>
  <c r="AD26" i="239" s="1"/>
  <c r="AB40" i="239"/>
  <c r="D41" i="239"/>
  <c r="D50" i="239" s="1"/>
  <c r="AD44" i="239"/>
  <c r="AD39" i="239"/>
  <c r="AD61" i="239"/>
  <c r="C33" i="261"/>
  <c r="C41" i="261" s="1"/>
  <c r="C50" i="261" s="1"/>
  <c r="C52" i="261" s="1"/>
  <c r="C55" i="261" s="1"/>
  <c r="AD58" i="239"/>
  <c r="AD60" i="239" s="1"/>
  <c r="AD48" i="239"/>
  <c r="D51" i="239"/>
  <c r="R41" i="239"/>
  <c r="AD43" i="239"/>
  <c r="AD45" i="239"/>
  <c r="O51" i="239"/>
  <c r="AA22" i="239"/>
  <c r="AA51" i="239" s="1"/>
  <c r="AD18" i="239"/>
  <c r="AB17" i="239"/>
  <c r="AB19" i="239" s="1"/>
  <c r="F17" i="239"/>
  <c r="F19" i="239" s="1"/>
  <c r="AA17" i="239"/>
  <c r="AA19" i="239" s="1"/>
  <c r="C66" i="261"/>
  <c r="C22" i="260"/>
  <c r="C56" i="261" s="1"/>
  <c r="I56" i="261" s="1"/>
  <c r="AD15" i="240"/>
  <c r="AB18" i="240"/>
  <c r="AD11" i="240"/>
  <c r="AD12" i="240"/>
  <c r="AD10" i="240"/>
  <c r="AB21" i="240"/>
  <c r="AD17" i="240"/>
  <c r="F18" i="240"/>
  <c r="AB14" i="240"/>
  <c r="AA14" i="240"/>
  <c r="C22" i="240"/>
  <c r="AA32" i="239"/>
  <c r="AA33" i="239" s="1"/>
  <c r="AD9" i="240"/>
  <c r="E43" i="253"/>
  <c r="E40" i="253"/>
  <c r="AD11" i="239"/>
  <c r="AC32" i="239"/>
  <c r="AC33" i="239" s="1"/>
  <c r="AA40" i="239"/>
  <c r="AD34" i="239"/>
  <c r="AD13" i="240"/>
  <c r="P22" i="240"/>
  <c r="R51" i="239"/>
  <c r="AA18" i="240"/>
  <c r="AD23" i="240"/>
  <c r="AD27" i="240" s="1"/>
  <c r="AD46" i="239"/>
  <c r="AD47" i="239" s="1"/>
  <c r="AD20" i="239"/>
  <c r="AD22" i="239" s="1"/>
  <c r="AD10" i="239"/>
  <c r="AD23" i="239"/>
  <c r="AD24" i="239" s="1"/>
  <c r="F40" i="239"/>
  <c r="AC21" i="240"/>
  <c r="AD16" i="240"/>
  <c r="F14" i="240"/>
  <c r="AC14" i="240"/>
  <c r="O33" i="239"/>
  <c r="O41" i="239" s="1"/>
  <c r="O50" i="239" s="1"/>
  <c r="R22" i="240" l="1"/>
  <c r="R56" i="239" s="1"/>
  <c r="AD64" i="239"/>
  <c r="F67" i="261"/>
  <c r="AD32" i="239"/>
  <c r="K67" i="261"/>
  <c r="F43" i="253"/>
  <c r="AC41" i="239"/>
  <c r="AC50" i="239" s="1"/>
  <c r="AC52" i="239" s="1"/>
  <c r="AB41" i="239"/>
  <c r="AB50" i="239" s="1"/>
  <c r="AB52" i="239" s="1"/>
  <c r="AD17" i="239"/>
  <c r="AD19" i="239" s="1"/>
  <c r="F37" i="253"/>
  <c r="F21" i="253"/>
  <c r="F40" i="253"/>
  <c r="F22" i="240"/>
  <c r="F56" i="239" s="1"/>
  <c r="N56" i="239" s="1"/>
  <c r="I22" i="260"/>
  <c r="C52" i="239"/>
  <c r="AD66" i="239"/>
  <c r="R50" i="239"/>
  <c r="R52" i="239" s="1"/>
  <c r="R55" i="239" s="1"/>
  <c r="R54" i="239" s="1"/>
  <c r="R67" i="239" s="1"/>
  <c r="AD33" i="239"/>
  <c r="AA41" i="239"/>
  <c r="AA50" i="239" s="1"/>
  <c r="AA52" i="239" s="1"/>
  <c r="F41" i="239"/>
  <c r="F50" i="239" s="1"/>
  <c r="F52" i="239" s="1"/>
  <c r="F55" i="239" s="1"/>
  <c r="I41" i="261"/>
  <c r="I50" i="261" s="1"/>
  <c r="I52" i="261" s="1"/>
  <c r="AD40" i="239"/>
  <c r="D52" i="239"/>
  <c r="O52" i="239"/>
  <c r="C54" i="261"/>
  <c r="C67" i="261" s="1"/>
  <c r="AB22" i="240"/>
  <c r="AD18" i="240"/>
  <c r="AA22" i="240"/>
  <c r="C22" i="266"/>
  <c r="I66" i="261"/>
  <c r="AC22" i="240"/>
  <c r="AD14" i="240"/>
  <c r="AD51" i="239"/>
  <c r="E259" i="233"/>
  <c r="E240" i="233"/>
  <c r="N54" i="239" l="1"/>
  <c r="N67" i="239" s="1"/>
  <c r="F45" i="253"/>
  <c r="AD41" i="239"/>
  <c r="AD50" i="239" s="1"/>
  <c r="AD52" i="239" s="1"/>
  <c r="AD55" i="239" s="1"/>
  <c r="I55" i="261"/>
  <c r="I54" i="261" s="1"/>
  <c r="I67" i="261" s="1"/>
  <c r="F54" i="239"/>
  <c r="F67" i="239" s="1"/>
  <c r="C21" i="266"/>
  <c r="C23" i="266" s="1"/>
  <c r="AD22" i="240"/>
  <c r="AD56" i="239" s="1"/>
  <c r="AD54" i="239" l="1"/>
  <c r="AD67" i="239" s="1"/>
</calcChain>
</file>

<file path=xl/sharedStrings.xml><?xml version="1.0" encoding="utf-8"?>
<sst xmlns="http://schemas.openxmlformats.org/spreadsheetml/2006/main" count="2942" uniqueCount="1204">
  <si>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</si>
  <si>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</si>
  <si>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</si>
  <si>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</si>
  <si>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</si>
  <si>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</si>
  <si>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</si>
  <si>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</si>
  <si>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</si>
  <si>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</si>
  <si>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</si>
  <si>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</si>
  <si>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</si>
  <si>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</si>
  <si>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</si>
  <si>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</si>
  <si>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</si>
  <si>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</si>
  <si>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</si>
  <si>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</si>
  <si>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</si>
  <si>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</si>
  <si>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</si>
  <si>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</si>
  <si>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</si>
  <si>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</si>
  <si>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</si>
  <si>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</si>
  <si>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</si>
  <si>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</si>
  <si>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</si>
  <si>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Személyi juttatás</t>
  </si>
  <si>
    <t>Munkaadókat terhelő járulékok és szociális hozzájárulási adó</t>
  </si>
  <si>
    <t>Dologi kiadás</t>
  </si>
  <si>
    <t>Ellátottak pénzbeli juttatása</t>
  </si>
  <si>
    <t>g.=b. +…+ f.</t>
  </si>
  <si>
    <t>h.</t>
  </si>
  <si>
    <t>i.</t>
  </si>
  <si>
    <t>j.</t>
  </si>
  <si>
    <t>k.=h. +i.+ j.</t>
  </si>
  <si>
    <t>l.</t>
  </si>
  <si>
    <t>m.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</si>
  <si>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</si>
  <si>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</si>
  <si>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</si>
  <si>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</si>
  <si>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</si>
  <si>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</si>
  <si>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Vízgazdálkodási Fejlesztési Alap</t>
  </si>
  <si>
    <t>IX.</t>
  </si>
  <si>
    <t>Tartalékok összesen</t>
  </si>
  <si>
    <t>C.</t>
  </si>
  <si>
    <t>KIADÁSOK MINDÖSSZESEN (I-IX.)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</si>
  <si>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</si>
  <si>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</si>
  <si>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</si>
  <si>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</si>
  <si>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</si>
  <si>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</si>
  <si>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</si>
  <si>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</si>
  <si>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</si>
  <si>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</si>
  <si>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</si>
  <si>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</si>
  <si>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</si>
  <si>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</si>
  <si>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Kiadások</t>
  </si>
  <si>
    <t>Igazgatási és egyéb központosított kiadások</t>
  </si>
  <si>
    <t>Intézményi felújítás</t>
  </si>
  <si>
    <t>Tartalék</t>
  </si>
  <si>
    <t>Bevétel-Kiadás különbözet havi bontásban</t>
  </si>
  <si>
    <t>Záró Pénzkészlet (Nyitó pénzkészlet+ Bevétel-Kiadás különbözete)</t>
  </si>
  <si>
    <t>Költségvetési szervek  kiadásai</t>
  </si>
  <si>
    <t>~ ebből: Alba Volán Sportclub - Ingatlan üzemeltetésével összefüggő költségekhez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</si>
  <si>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</si>
  <si>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</si>
  <si>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</si>
  <si>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</si>
  <si>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</si>
  <si>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</si>
  <si>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</si>
  <si>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</si>
  <si>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Működési célú pénzeszköz átvétel</t>
  </si>
  <si>
    <t>Felhalmozási bevételek</t>
  </si>
  <si>
    <t>Felújítások</t>
  </si>
  <si>
    <t>Felhalmozási célú pénzeszköz átvétel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</si>
  <si>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</si>
  <si>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</si>
  <si>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</si>
  <si>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</si>
  <si>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</si>
  <si>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</si>
  <si>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 "Lánczos Kornél-Szekfű Gyula" Ösztöndíj Közalapítvány működési támogatása</t>
  </si>
  <si>
    <t xml:space="preserve">              Tóth István és Tóth Terézia Ösztöndíj Közalapítvány működési támogatása</t>
  </si>
  <si>
    <t xml:space="preserve">             Alba Regia Atlétikai Klub</t>
  </si>
  <si>
    <t>NEMZETISÉGI ÖNKORMÁNYZATOK</t>
  </si>
  <si>
    <t>~ ebből: Kulturális Alap</t>
  </si>
  <si>
    <t xml:space="preserve">              Egészségügyi Alap</t>
  </si>
  <si>
    <t xml:space="preserve">              Sport Alap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</si>
  <si>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</si>
  <si>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</si>
  <si>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</si>
  <si>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</si>
  <si>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</si>
  <si>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</si>
  <si>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 xml:space="preserve">              Közbiztonsági feladatokra (Fejér Megyei Rendőr-Főkapitányság)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</si>
  <si>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</si>
  <si>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</si>
  <si>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</si>
  <si>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</si>
  <si>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</si>
  <si>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</si>
  <si>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</si>
  <si>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</si>
  <si>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</si>
  <si>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</si>
  <si>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</si>
  <si>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</si>
  <si>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</si>
  <si>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</si>
  <si>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</si>
  <si>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</si>
  <si>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</si>
  <si>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</si>
  <si>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</si>
  <si>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</si>
  <si>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</si>
  <si>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</si>
  <si>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</si>
  <si>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</si>
  <si>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Humán Közszolgálati Szakbizottsági keret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</si>
  <si>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</si>
  <si>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</si>
  <si>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</si>
  <si>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</si>
  <si>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</si>
  <si>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</si>
  <si>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</si>
  <si>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</si>
  <si>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</si>
  <si>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</si>
  <si>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</si>
  <si>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</si>
  <si>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</si>
  <si>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</si>
  <si>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  Alba Volán Sportclub Jégkorong Szakosztály</t>
  </si>
  <si>
    <t xml:space="preserve">              Jubileumi jutalom, jogszabályból fakadó személyi jellegű többlet kifizetések kerete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</si>
  <si>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</si>
  <si>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</si>
  <si>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</si>
  <si>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</si>
  <si>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</si>
  <si>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</si>
  <si>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</si>
  <si>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          Bory-Vár Alapítvány - Bory-Vár karbantartás</t>
  </si>
  <si>
    <t xml:space="preserve">         Fricsay Richárd Katonazenekari Fesztivál és Gála</t>
  </si>
  <si>
    <t xml:space="preserve">         Könyvkiadás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</si>
  <si>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</si>
  <si>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</si>
  <si>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</si>
  <si>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</si>
  <si>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</si>
  <si>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</si>
  <si>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Vasutas Országos Közművelődési és Szabadidő Egyesület Vörösmarty Mihály Művelődési Ház</t>
  </si>
  <si>
    <t xml:space="preserve">              "Aranyeső" Alapítvány az egészséges emberért támogatása - Hétpettyes Óvoda</t>
  </si>
  <si>
    <t xml:space="preserve">              Székesfehérvári Református Egyházközség támogatása - Olajfa Református Óvoda</t>
  </si>
  <si>
    <t>Tagdíjak, testületek</t>
  </si>
  <si>
    <t xml:space="preserve">             A székesfehérvári oktatásszakmai munka önkormányzati támogatásának kerete</t>
  </si>
  <si>
    <t xml:space="preserve">              Földmérési alaptérkép</t>
  </si>
  <si>
    <t xml:space="preserve">              Magyar Urbanisztikai Társaság tagdíj</t>
  </si>
  <si>
    <t>~ ebből: Rendezési terv készítése, meglévő szabályozások módosítása, felülvizsgálata, integrálása, karbantartása</t>
  </si>
  <si>
    <t xml:space="preserve">              Székesfehérvári Fogyasztóvédelmi Egyesület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</si>
  <si>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</si>
  <si>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</si>
  <si>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</si>
  <si>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</si>
  <si>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</si>
  <si>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</si>
  <si>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</si>
  <si>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X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</si>
  <si>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</si>
  <si>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</si>
  <si>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</si>
  <si>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</si>
  <si>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a.</t>
  </si>
  <si>
    <t>b.</t>
  </si>
  <si>
    <t>c.</t>
  </si>
  <si>
    <t>d.</t>
  </si>
  <si>
    <t>e.</t>
  </si>
  <si>
    <t>f.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</si>
  <si>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</si>
  <si>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</si>
  <si>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</si>
  <si>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</si>
  <si>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</si>
  <si>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</si>
  <si>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</si>
  <si>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</si>
  <si>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</si>
  <si>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</si>
  <si>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</si>
  <si>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</si>
  <si>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</si>
  <si>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</si>
  <si>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</si>
  <si>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</si>
  <si>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</si>
  <si>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</si>
  <si>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</si>
  <si>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</si>
  <si>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</si>
  <si>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</si>
  <si>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</si>
  <si>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</si>
  <si>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</si>
  <si>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</si>
  <si>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</si>
  <si>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</si>
  <si>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</si>
  <si>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</si>
  <si>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 xml:space="preserve">II. Hiány fedezete </t>
  </si>
  <si>
    <t>B8</t>
  </si>
  <si>
    <t>Szennyvízcsatorna építések</t>
  </si>
  <si>
    <t>Útszabályozás kártalanítás</t>
  </si>
  <si>
    <t>Székesfehérvár Vizi Társulat éves tagdíja</t>
  </si>
  <si>
    <t>Egyéb</t>
  </si>
  <si>
    <t>Tervezési munkák</t>
  </si>
  <si>
    <t>Hatósági és egyéb díjak</t>
  </si>
  <si>
    <t>Tervfelülvizsgálatok, közműegyeztetések</t>
  </si>
  <si>
    <t>Pályázat előkészítésére és önerő keret</t>
  </si>
  <si>
    <t>Belvárosi épületek rekonstrukcióját szolgáló fejlesztési alap (vissza nem térítendő támogatás)</t>
  </si>
  <si>
    <t>Meglévő erősáramú légvezetékes hálózat áthelyezése és átalakítása</t>
  </si>
  <si>
    <t>Fejlesztési, felhalmozási ráfordítások mindösszesen:</t>
  </si>
  <si>
    <t>(eFt-ban)</t>
  </si>
  <si>
    <t>4, Ellátottak pénzbeli juttatása</t>
  </si>
  <si>
    <t>5, Egyéb működési célú kiadások</t>
  </si>
  <si>
    <t>3. Előző évi működési célú költségvetési  maradvány igénybevétele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</si>
  <si>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</si>
  <si>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</si>
  <si>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</si>
  <si>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</si>
  <si>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</si>
  <si>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</si>
  <si>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</si>
  <si>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</si>
  <si>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</si>
  <si>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</si>
  <si>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</si>
  <si>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</si>
  <si>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</si>
  <si>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</si>
  <si>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</si>
  <si>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</si>
  <si>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B31</t>
  </si>
  <si>
    <t>B311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</si>
  <si>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</si>
  <si>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</si>
  <si>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</si>
  <si>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</si>
  <si>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</si>
  <si>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</si>
  <si>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</si>
  <si>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</si>
  <si>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</si>
  <si>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</si>
  <si>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</si>
  <si>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</si>
  <si>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</si>
  <si>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</si>
  <si>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</si>
  <si>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</si>
  <si>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</si>
  <si>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</si>
  <si>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</si>
  <si>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</si>
  <si>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</si>
  <si>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</si>
  <si>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</si>
  <si>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</si>
  <si>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</si>
  <si>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</si>
  <si>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</si>
  <si>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</si>
  <si>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</si>
  <si>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</si>
  <si>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</si>
  <si>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</si>
  <si>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</si>
  <si>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</si>
  <si>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</si>
  <si>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</si>
  <si>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</si>
  <si>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>12, Termőföld bérbeadásából származó jövedelem utáni személyi jövedelemadó</t>
  </si>
  <si>
    <t>13, Jövedelemadó összesen:(12)</t>
  </si>
  <si>
    <t xml:space="preserve">              Közbiztonsági problémák társadalmi kezelése</t>
  </si>
  <si>
    <t>Anyakönyvi népesség-nyilvántartási és okmánykibocsátási tevékenység</t>
  </si>
  <si>
    <t xml:space="preserve">              Településrendezést, településkép védelmet, építészeti értékvédelmet megalapozó dokumentumok, tanulmánytervek, pályázati tervek, tervezési, kutatási szerződések, meghívásos tervpályázatok lebonyolítása, szakmai konferencia</t>
  </si>
  <si>
    <t xml:space="preserve">              Alba Volán Zrt. 504/2012.(VIII.17.) kgy.hat. .I. 1. b. pontja alapján történő finanszírozására</t>
  </si>
  <si>
    <t xml:space="preserve">             Tanévnyitó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</si>
  <si>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</si>
  <si>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</si>
  <si>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          Fehérvári Zenei Napok - A Tehetséges Zenészekért Alapítvány</t>
  </si>
  <si>
    <t xml:space="preserve">           Fejér Megyei Diáknapok -  Fejér Megyei Művelődési Központ</t>
  </si>
  <si>
    <t xml:space="preserve"> - Kulturális feladatokhoz kapcsolódó egyéb rendezvények</t>
  </si>
  <si>
    <t xml:space="preserve">         Székesfehérvári művészektől vásárlás</t>
  </si>
  <si>
    <t xml:space="preserve">         Világháborús megemlékezések</t>
  </si>
  <si>
    <t>Sportszakosztályi és csarnoküzemeltetési támogatások</t>
  </si>
  <si>
    <t>Egyéb sportcélú támogatások</t>
  </si>
  <si>
    <t xml:space="preserve">             Magyar Labdarúgó Szövetség Fejér Megyei Igazgatósága - "Alba Liga" kispályás labdarúgó bajnokság támogatása</t>
  </si>
  <si>
    <t xml:space="preserve">              Intézményi kafetéria juttatás fedezetére</t>
  </si>
  <si>
    <t xml:space="preserve">              Közszolgáltatások biztonságának fenntartására elkülönített keret</t>
  </si>
  <si>
    <t xml:space="preserve">              Önkormányzati feladatellátást szolgáló támogatási keret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</si>
  <si>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</si>
  <si>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</si>
  <si>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</si>
  <si>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</si>
  <si>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</si>
  <si>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</si>
  <si>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</si>
  <si>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Egyházak, egyházi intézmények támogatása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</si>
  <si>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</si>
  <si>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</si>
  <si>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Politikai Foglyok Szövetsége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</si>
  <si>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</si>
  <si>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</si>
  <si>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</si>
  <si>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</si>
  <si>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</si>
  <si>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</si>
  <si>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 xml:space="preserve">              Új településrendezési eszközök készítése Székesfehérvár teljes közigazgatási területére-előkészítés és tervezés</t>
  </si>
  <si>
    <t>Egyéb felhalmozási célú kiadások</t>
  </si>
  <si>
    <t>Költségvetési kiadások összesen</t>
  </si>
  <si>
    <t>K5</t>
  </si>
  <si>
    <t>Működési célú támogatások államháztartáson belülről</t>
  </si>
  <si>
    <t>Felhalmozási célú támogatások államháztartáson belülről</t>
  </si>
  <si>
    <t>Működési célú átvett pénzeszközök</t>
  </si>
  <si>
    <t>Felhalmozási célú átvett pénzeszközök</t>
  </si>
  <si>
    <t>Maradvány igénybevétele</t>
  </si>
  <si>
    <t>n.=l.+m.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</si>
  <si>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</si>
  <si>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</si>
  <si>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</si>
  <si>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</si>
  <si>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</si>
  <si>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</si>
  <si>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</si>
  <si>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</si>
  <si>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</si>
  <si>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</si>
  <si>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</si>
  <si>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 xml:space="preserve">Ybl Miklós-program: Intézményfelújítások </t>
  </si>
  <si>
    <t>Közlekedési kiadások</t>
  </si>
  <si>
    <t>~ ebből: HEROSZ Egyesület</t>
  </si>
  <si>
    <t xml:space="preserve">              Ingatlangazdálkodási Alap</t>
  </si>
  <si>
    <t>~ ebből: Székesfehérvári Városfejlesztési Közhasznú Nonprofit Kft.- Ingatlangazdálkodási kiadások lakás és nem lakás célú helyiségek felújítási kerettel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</si>
  <si>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</si>
  <si>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</si>
  <si>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</si>
  <si>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</si>
  <si>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</si>
  <si>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</si>
  <si>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</si>
  <si>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</si>
  <si>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</si>
  <si>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</si>
  <si>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</si>
  <si>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</si>
  <si>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</si>
  <si>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</si>
  <si>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</si>
  <si>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</si>
  <si>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</si>
  <si>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</si>
  <si>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</si>
  <si>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</si>
  <si>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</si>
  <si>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</si>
  <si>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</si>
  <si>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</si>
  <si>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</si>
  <si>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</si>
  <si>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</si>
  <si>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</si>
  <si>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Fejlesztési kiadások, Vízgazdálkodási Fejlesztési Alap</t>
  </si>
  <si>
    <t>Támogatási keretek, alapok</t>
  </si>
  <si>
    <t>2. Irányító szervi támogatás</t>
  </si>
  <si>
    <t>1. Irányító szervi támogatás folyósítása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</si>
  <si>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</si>
  <si>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</si>
  <si>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</si>
  <si>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</si>
  <si>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</si>
  <si>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B817</t>
  </si>
  <si>
    <t>9. Finanszírozási kiadások összesen:</t>
  </si>
  <si>
    <t>III. Finanszírozási egyenleg(8-9)</t>
  </si>
  <si>
    <t>Egyenleg (I-III.)</t>
  </si>
  <si>
    <t>3, Települési önkormányzatok szociális, gyermekjóléti és gyermekétkeztetési feladatainak támogatása</t>
  </si>
  <si>
    <t>15, Vagyoni típusú adók összesen: (14)</t>
  </si>
  <si>
    <t>16, Iparűzési adó</t>
  </si>
  <si>
    <t>17, Értékesítési és forgalmi adók (16)</t>
  </si>
  <si>
    <t>18, Gépjárműadó</t>
  </si>
  <si>
    <t>19, Talajterhelési díj</t>
  </si>
  <si>
    <t>20, Idegenforgalmi adó</t>
  </si>
  <si>
    <t>21, Egyéb áruhasználati és szolgáltatási adók (19+20)</t>
  </si>
  <si>
    <t>22, Termékek és szolgáltatások adói összesen (17+18+21):</t>
  </si>
  <si>
    <t>23, Igazgatási szolgáltatási díj</t>
  </si>
  <si>
    <t>24, Környezetvédelmi bírság</t>
  </si>
  <si>
    <t>25, Építésügyi bírság</t>
  </si>
  <si>
    <t>26, Adópótlék, adóbírság</t>
  </si>
  <si>
    <t>27, Szabálysértési pénz és helyszíni bírság és közigazgatási bírság</t>
  </si>
  <si>
    <t>28, Egyéb bírság</t>
  </si>
  <si>
    <t>29, Egyéb közhatalmi bevételek összesen (23+24+25+26+27+28):</t>
  </si>
  <si>
    <t>30, Közhatalmi bevételek összesen (13+15+22+29):</t>
  </si>
  <si>
    <t>31, Működési bevételek</t>
  </si>
  <si>
    <t>32, Ingatlanok értékesítése</t>
  </si>
  <si>
    <t>33, Felhalmozási bevételek összesen (32):</t>
  </si>
  <si>
    <t>K915</t>
  </si>
  <si>
    <t>K916</t>
  </si>
  <si>
    <t>15, Irányító szervi támogatás folyósítása</t>
  </si>
  <si>
    <t>17, Finanszírozási kiadások összesen:</t>
  </si>
  <si>
    <t>I. Költségvetési egyenleg (1-2) az Áht. Szerint</t>
  </si>
  <si>
    <t>Új Belváros - Várkörút rehabilitációja (KDOP-3.1.1/D1-14)</t>
  </si>
  <si>
    <t>Saára Gyula program 2015</t>
  </si>
  <si>
    <t>K5 (K501-K512)</t>
  </si>
  <si>
    <t>K5 (K513)</t>
  </si>
  <si>
    <t>16, Pénzeszközök lekötött bankbetétként elhelyezése</t>
  </si>
  <si>
    <t>2. Pénzeszközök lekötött bankbetétként elhelyezése</t>
  </si>
  <si>
    <t>2, Települési önkormányzatok egyes köznevelési feladatainak támogatása</t>
  </si>
  <si>
    <t>5, Működési célú költségvetési támogatások és kiegészítő támogatások</t>
  </si>
  <si>
    <t>34, Működési célú átvett pénzeszközök</t>
  </si>
  <si>
    <t>35, Felhalmozási célú átvett pénzeszközök</t>
  </si>
  <si>
    <t>7. Lekötött bankbetétek megszüntetése</t>
  </si>
  <si>
    <t>3. Lekötött bankbetétek megszüntetése</t>
  </si>
  <si>
    <t>32.</t>
  </si>
  <si>
    <t>Lekötött bankbetétek megszüntetése</t>
  </si>
  <si>
    <t xml:space="preserve">              Templom felújítási munkálatok támogatása -Székesfehérvári Egyházmegye</t>
  </si>
  <si>
    <t>~ ebből: Városrészi polgárőr feladatok támogatása</t>
  </si>
  <si>
    <t xml:space="preserve">VÁROSFEJLESZTÉS </t>
  </si>
  <si>
    <t xml:space="preserve">              Tervtanács működtetése és építészeti díj zsűrijére </t>
  </si>
  <si>
    <t xml:space="preserve">              Településrendezési eszközök módosítása </t>
  </si>
  <si>
    <t xml:space="preserve">             Székesfehérvár Egészségügyi Ellátásáért Közalapítvány működési támogatása</t>
  </si>
  <si>
    <t xml:space="preserve">              Egészségügyi feladatok, Fejér Megyei Szent György Egyetemi Oktató Kórház támogatása, fejlesztéshez való hozzájárulás</t>
  </si>
  <si>
    <t xml:space="preserve">              EGÉSZSÉGDOKK Közhasznú Alapítvány működési támogatása - a székesfehérvári addiktológia tevékenység végzése érdekében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</si>
  <si>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</si>
  <si>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</si>
  <si>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</si>
  <si>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</si>
  <si>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</si>
  <si>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</si>
  <si>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</si>
  <si>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   Nemzetiségi Alap</t>
  </si>
  <si>
    <t xml:space="preserve">              Kistelepülési könyvtári és közművelődési kiegészítő támogatás (Vörösmarty Könyvtár)</t>
  </si>
  <si>
    <t xml:space="preserve">              Óvodapedagógusok bérnövekményének fedezete (szeptember-november hónapokra)</t>
  </si>
  <si>
    <t xml:space="preserve">              Költségvetési szervek működési költségeinek  fedezetére, valamint az új illetve átszervezéssel érintett intézmények megalakulásával és átszervezésével kapcsolatos eseti költségeinek fedezetére</t>
  </si>
  <si>
    <t xml:space="preserve">              Színes Diploma átadó ünnepség megrendezésére - Pedagógusok Szakszervezete Fejér Megyei Szervezete</t>
  </si>
  <si>
    <t xml:space="preserve">           Fehérvári Programszervező Kft.</t>
  </si>
  <si>
    <t>Pénzeszközök lekötött bankbetétként elhelyezése</t>
  </si>
  <si>
    <t xml:space="preserve">              Fehérvári Pályakezdő Orvosok Egyesülete</t>
  </si>
  <si>
    <t>A-3-0 csapadékcsatorna rekonstrukciója</t>
  </si>
  <si>
    <t>ifj. Ocskay Gábor Jégcsarnok érintésvédelmi-, tűzvédelmi-, és villámvédelmi munkák elvégzésével kapcsolatos költségekre, valamint tüzivíz tározó kialakítása</t>
  </si>
  <si>
    <t xml:space="preserve">              Térfigyelő kamerarendszer bővítése (közbiztonság növelését szolgáló fejlesztések megvalósítása)</t>
  </si>
  <si>
    <t>Bevétel összesen*</t>
  </si>
  <si>
    <t>Kiadás összesen*</t>
  </si>
  <si>
    <t>* Megjegyzés: Tartalmazza a finanszírozási célú bevételeket és kiadásokat, kivéve az irányító szervi támogatást a duplikáció elkerülése okán.</t>
  </si>
  <si>
    <t xml:space="preserve">              Székesfehérvár Fejlődéséért Alapítvány támogatása - a székesfehérvári lakcímmel rendelkező lakosok egészségmegőrzése, betegségmegelőzése, gyógyító, egészségügyi, rehabilitációs tevékenység a lakosság egészségügyi állapota színvonalának emelése céljából, életminőséget javító szolgáltatások megvalósítása érdekében</t>
  </si>
  <si>
    <t>~ ebből: Székesfehérvári Többcélú Kistérségi Társulás feladatellátásához való működési hozzájárulás</t>
  </si>
  <si>
    <t>Nyitó pénzkészlet (költségvetési maradvány és lekötött bankbetét nélkül)</t>
  </si>
  <si>
    <t>összevont 2016. évi bevételeiről eFt-ban</t>
  </si>
  <si>
    <t>összevont 2016. évi kiadásairól eFt-ban</t>
  </si>
  <si>
    <t>összevont 2016. évi bevételi és kiadási  egyenlege eFt-ban</t>
  </si>
  <si>
    <t>14, Építményadó</t>
  </si>
  <si>
    <t>Feladat megnevezése</t>
  </si>
  <si>
    <t>Szennyvízcsatorna összesen:</t>
  </si>
  <si>
    <t>Útfelújítások</t>
  </si>
  <si>
    <t>Mártírok útja útfelújítása (KDOP 4.2.1/B)</t>
  </si>
  <si>
    <t>Saára Gyula program 2014</t>
  </si>
  <si>
    <t>Képviselői javaslattal kialakításra kerülő fejlesztések kerete</t>
  </si>
  <si>
    <t>ebből: Királysor- Géza u. körforgalom</t>
  </si>
  <si>
    <t xml:space="preserve">          Budai u. - Donát u. buszöböl bővítés + forgalmi rend módosítás</t>
  </si>
  <si>
    <t xml:space="preserve">          Martinovics utca kiegészítő útfelújítási munkák</t>
  </si>
  <si>
    <t xml:space="preserve">          Várkapu utca átépítése</t>
  </si>
  <si>
    <t xml:space="preserve">          Beregszászi utca - Donát utcai csomópont útfelújítása</t>
  </si>
  <si>
    <t xml:space="preserve">          Alsóvárosi kerékpárút mellett közvilágítás tervezése</t>
  </si>
  <si>
    <t xml:space="preserve">          Hídfelújítások (Rózsaliget és kapcsolódó hidak)</t>
  </si>
  <si>
    <t xml:space="preserve">          Maroshegyi óvoda melletti parkolók</t>
  </si>
  <si>
    <t xml:space="preserve">          Gellért újsor - Schwabisch G. u. összekötő út, áteresz, közvilágítás kiépítésével</t>
  </si>
  <si>
    <t xml:space="preserve">          Gyalogos és kerékpáros biztonsági program</t>
  </si>
  <si>
    <t xml:space="preserve">          Jelzőlámpa-rendszer fejlesztése</t>
  </si>
  <si>
    <t>Saára Gyula program 2016</t>
  </si>
  <si>
    <t xml:space="preserve">          Akácfa utca felújítása</t>
  </si>
  <si>
    <t xml:space="preserve">          Közműoszlop-kiváltások</t>
  </si>
  <si>
    <t xml:space="preserve">          Lugosi utca felújítása</t>
  </si>
  <si>
    <t xml:space="preserve">         Attila utca felújítása</t>
  </si>
  <si>
    <t xml:space="preserve">         Holicsi utca felújítása</t>
  </si>
  <si>
    <t xml:space="preserve">         Mart aszfalt program</t>
  </si>
  <si>
    <t xml:space="preserve">         Arany János utca felújítása és kapcsolódó terek felújtása (előkészítési feladatok)</t>
  </si>
  <si>
    <t xml:space="preserve">         Korponai u. felújítása</t>
  </si>
  <si>
    <t xml:space="preserve">         Brassói u. járda és szegély helyreállítás költségeire</t>
  </si>
  <si>
    <t>Egyéb javaslat</t>
  </si>
  <si>
    <t>Országzászló tér tervezési feladatok</t>
  </si>
  <si>
    <t xml:space="preserve">Várkörúti szoborpark felújítása </t>
  </si>
  <si>
    <t>Útfelújítások összesen:</t>
  </si>
  <si>
    <t>Csapadékvíz elvezetés, árvíz-belvíz védekezés</t>
  </si>
  <si>
    <t>Mártírok útja csapadékcsatorna főgyűjtő átépítése (KDOP 4.1.1)</t>
  </si>
  <si>
    <t>Csapadékcsatorna üzemeltetés</t>
  </si>
  <si>
    <t>Szilva utca csapadékvíz elvezetése</t>
  </si>
  <si>
    <t>Jancsár csatorna - ARMCO áteresz átépítése</t>
  </si>
  <si>
    <t>Brassói utca - csapadékcsatorna rekonstrukció</t>
  </si>
  <si>
    <t>Vereckei utca alsó szakasz - csapadékcsatorna építés</t>
  </si>
  <si>
    <t>Csapadékvíz elvezetés, árvíz-belvíz védekezés összesen:</t>
  </si>
  <si>
    <t>Korlátozási kártalanítás</t>
  </si>
  <si>
    <t>Alba Geotrade Zrt. EKN. Vezetés, bemérések</t>
  </si>
  <si>
    <t>Szemünk Fénye program</t>
  </si>
  <si>
    <t>Belvárosi épületek rekonstrukcióját szolgáló fejlesztési alap (visszatérítendő támogatás)</t>
  </si>
  <si>
    <t>544/2015. (VII.23.) kgy.határozathoz kapcsolódó fejlesztési keret</t>
  </si>
  <si>
    <t>"ART" mozihálózat digitális fejlesztése</t>
  </si>
  <si>
    <t>Zöld Város-Fehérvár Tüdeje Program- Alsóvárosi rét megvásárlása (826/2015.(XI.30.) kgy.hat.alapján)</t>
  </si>
  <si>
    <t>Egyéb összesen:</t>
  </si>
  <si>
    <t>Fő és gyűjtőutak felújítása - Ligetsor (Ligetsor felújítás és parkolómező, körforgalom, iskola-óvoda előtti tér, sétány)</t>
  </si>
  <si>
    <t>Fő és gyűjtőutak felújítása- Berényi u. II. ütem (Berényi u. II. ütem +csapadék + Mikszáth körforgalom)</t>
  </si>
  <si>
    <t xml:space="preserve">Balatoni út Úrhidai úti körforgalomtól kivezető szakasza az elkerülő út csomóponti ágáig </t>
  </si>
  <si>
    <t>Pozsonyi út felújítása Fiskális és Berényi út között</t>
  </si>
  <si>
    <t>Zombori út felújítása</t>
  </si>
  <si>
    <t>1973/2015.(XII.23.) Korm.határozat megvalósítására</t>
  </si>
  <si>
    <t>Koch László utcai parkolóház építése és kapcsolódó egyéb létesítmények</t>
  </si>
  <si>
    <t>Multifunkcionális csarnok  megvalósításához szükséges tervezési, előkészítési feladatok, kapcsolódó ingatlanvásárlás</t>
  </si>
  <si>
    <t>Árpádház programhoz kapcsolódó tervezési, előkészítési feladatok</t>
  </si>
  <si>
    <t>Székesfehérvár-Csala 22 kV-os vezeték kiváltása</t>
  </si>
  <si>
    <t>Zöld Város-Fehérvár Tüdeje Programhoz kapcsolódó tervezési, előkészítési feladatok</t>
  </si>
  <si>
    <t>Közvilágítás korszerűsítése</t>
  </si>
  <si>
    <t xml:space="preserve">         Budai út Rendőrség felöli oldalán a megsüllyedt térkőburkolat cseréje</t>
  </si>
  <si>
    <t>Székesfehérvári Munkácsy Mihály Általános Iskola előtti tér felújítása</t>
  </si>
  <si>
    <t>Integrált Területi Program (ITP) keretében megvalósítani tervezett fejlesztések</t>
  </si>
  <si>
    <t>ITP keretében megvalósítani tervezett fejlesztések összesen:</t>
  </si>
  <si>
    <t>A-0-0 főgyűjtő A-0-0-I/5 szakaszának megépítése</t>
  </si>
  <si>
    <t>Varga csatorna burkolat kiépítése, Bőrgyár utca</t>
  </si>
  <si>
    <t>Autóbusz-hálózat átalakításával összefüggő feladatok</t>
  </si>
  <si>
    <t>Államigazgatási feladat</t>
  </si>
  <si>
    <t>Államigaz-gatási feladat</t>
  </si>
  <si>
    <t>Székesfehérvári Mikrovállalkozások Kamattámogatási Programja</t>
  </si>
  <si>
    <t>Közműellátási és egyéb városüzemeltetési feladatok</t>
  </si>
  <si>
    <t xml:space="preserve">              Fejér Megyei Katasztrófavédelmi Igazgatóság - Polgári Védelmi Kirendeltségének 2016. évi támogatására</t>
  </si>
  <si>
    <t xml:space="preserve">              Közbiztonság fejlesztése Székesfehérváron a településbiztonság és az ifjúságvédelem előtérbe helyezésével</t>
  </si>
  <si>
    <t>Salétrom utcában közösségi tér kialakítása -  I. ütem Civil központ mögötti parktól a Salétrom utca 9. melletti sportpályáig</t>
  </si>
  <si>
    <t>~ ebből: Helyi közösségi közlekedés finanszírozásának kerete</t>
  </si>
  <si>
    <t>~ ebből: Erdőtelepítés ültetési és fenntartási feladatai</t>
  </si>
  <si>
    <t xml:space="preserve">              Mozgássérültek Fejér Megyei Egyesülete által fenntartott Viktória Rehabilitációs Központ egészségügyi és szociális ellátással kapcsolatos működési támogatása</t>
  </si>
  <si>
    <t xml:space="preserve">              Alba Civitan Rehabilitációs Nonprofit Kft.  működési támogatása</t>
  </si>
  <si>
    <t xml:space="preserve">              Székesfehérvár Megyei Jogú Város Önkormányzat Egészségtervének felülvizsgálata</t>
  </si>
  <si>
    <t xml:space="preserve">           "Szín-Tér"/Színjátszó-Versmondó/ Egyesület</t>
  </si>
  <si>
    <t xml:space="preserve">         XIV. Alba Regia Nemzetközi Gyermekkórusfesztivál - „Kodály Zoltán Általános Iskola és Művészeti Központ” Alapítvány</t>
  </si>
  <si>
    <t xml:space="preserve">         Kákics Kulturális Egyesület</t>
  </si>
  <si>
    <t xml:space="preserve">         XIII. Országos Alba Regia Kamarazenei Verseny - Klebelsberg Intézményfenntartó Központ Székesfehérvári Tankerülete</t>
  </si>
  <si>
    <t xml:space="preserve">         "Quartettissimo Fesztivál- Károlyi József Alapítvány"</t>
  </si>
  <si>
    <t xml:space="preserve">          Zenetörténeti konferencia- Károlyi József Alapítvány </t>
  </si>
  <si>
    <t xml:space="preserve">         Kulturális célú kiadások év közben jelentkező többletfeladatok</t>
  </si>
  <si>
    <t xml:space="preserve">         Városházi rendezvények - Díszterem</t>
  </si>
  <si>
    <t xml:space="preserve">         Nemzeti Emlékhely Napja</t>
  </si>
  <si>
    <t xml:space="preserve">         Megemlékezések az '56-os forradalom 60.évfordulója alkalmából</t>
  </si>
  <si>
    <t xml:space="preserve">         Szent Márton-év programjainak támogatása</t>
  </si>
  <si>
    <t xml:space="preserve">         Nemzetközi Bonsai Kiállítás és Vásár - Európai Bonsai Szövetség Kongresszusa</t>
  </si>
  <si>
    <t xml:space="preserve">         Alba-Regia Camp nemzetközi cserkésztábor</t>
  </si>
  <si>
    <t xml:space="preserve">         Bella István Emlékévhez hozzájárulás</t>
  </si>
  <si>
    <t xml:space="preserve">         Megemlékezés a Szentlélek katonatemető kialakításának 25. évfordulója alkalmából</t>
  </si>
  <si>
    <t xml:space="preserve">         Székelyföldi Verstábor - Fortis Hungarorum Kulturális Egyesület</t>
  </si>
  <si>
    <t xml:space="preserve">         Jazz Fesztivál megrendezése- M.A.P.! Workshop Kft.</t>
  </si>
  <si>
    <t xml:space="preserve">         Tapintható térkép</t>
  </si>
  <si>
    <t xml:space="preserve">         Városrészi rendezvények</t>
  </si>
  <si>
    <t xml:space="preserve">         Száz éves a repülés Fehérváron</t>
  </si>
  <si>
    <t xml:space="preserve">         Farkas Ferenc emléktábla </t>
  </si>
  <si>
    <t>~ ebből: Fehérvár FC Kft.- I. félév</t>
  </si>
  <si>
    <t xml:space="preserve">             Alba Volán Sportclub Öttusa Szakosztály - Olimpiai kvótát szerzett sportolók felkészítésére is</t>
  </si>
  <si>
    <t xml:space="preserve">             Hullám 91. Úszó és Vízilabda Egyesület-Olimpiai kvótát szerzett sportolók felkészítésére</t>
  </si>
  <si>
    <t xml:space="preserve">             Track&amp;Race Sportügynökség Kft.- "Gyulai István Memorial-Atlétikai Magyar Nagydíj"</t>
  </si>
  <si>
    <t xml:space="preserve">             Alba Regia Atlétikai Klub-2016. évi Atlétikai Magyar Bajnokság</t>
  </si>
  <si>
    <t xml:space="preserve">             Alba Regia Atlétikai Klub- 2016. évi Magyar Csapatbajnokság Döntő és Országos Serdülő Csapatbajnokság</t>
  </si>
  <si>
    <t xml:space="preserve">             Kodolányi Főiskola Röplabda Klub Egyesület- III. Alba Regia Röplabda Gála megrendezésének támogatása</t>
  </si>
  <si>
    <t xml:space="preserve">            Országos Mini-futball Szövetség - miniEuro 2016 kispályás labdarúgó EB megrendezése</t>
  </si>
  <si>
    <t xml:space="preserve">            MÁV Előre Sport Club </t>
  </si>
  <si>
    <t xml:space="preserve">            Zichy-ligeti műjégpálya - üzemeltetés</t>
  </si>
  <si>
    <t xml:space="preserve">              Ifjúsági Alap</t>
  </si>
  <si>
    <t xml:space="preserve">            Rászoruló gyermekek intézményen kívüli szünidei étkeztetésének támogatása</t>
  </si>
  <si>
    <t xml:space="preserve">             Gazdasági területen dolgozó közalkalmazottak illetményrendezése 2016. július 1. napjától</t>
  </si>
  <si>
    <t xml:space="preserve">              Székesfehérvári felsőoktatás támogatási, fejlesztési tartalékkerete</t>
  </si>
  <si>
    <t xml:space="preserve">TÁMOGATÁSI KERETEK, ALAPOK </t>
  </si>
  <si>
    <t xml:space="preserve">          Balatoni úti járda töltésmegerősítés tervezése</t>
  </si>
  <si>
    <t xml:space="preserve">          Balatoni úti járda töltésmegerősítés kiviteli terv készítés</t>
  </si>
  <si>
    <t>ebből: Kégl György és Távírda utca felújítása közvilágítással</t>
  </si>
  <si>
    <t xml:space="preserve">          Zrínyi utca felújítása Mártírok útja és Erzsébet út között</t>
  </si>
  <si>
    <t xml:space="preserve">         Pozsonyi út kiviteli tervek (Zsolnai út és Nagyszombati út között)</t>
  </si>
  <si>
    <t xml:space="preserve">         Budai út Királysori és Hadiárva utcai buszöblök bővítése, valamint a közöttük lévő útszakasz teljes szélességű felújítása</t>
  </si>
  <si>
    <t xml:space="preserve">         Déli tehermentesítő Bakony utca - Elkerülő út közötti és Szalontai utcai bekötés talajmechanika, szakági tervezések (kiviteli szinten)</t>
  </si>
  <si>
    <t>Fekete Sas Szálló udvarának ideiglenes megnyitása, 17 közforgalmú parkoló kialakítása</t>
  </si>
  <si>
    <t>Fürdősor - Malom támfal helyreállítás</t>
  </si>
  <si>
    <t>Aszalvölgyi árok kotrása a Balatoni út és a Lugosi utcai árok közötti szakaszon</t>
  </si>
  <si>
    <t>Tornacsarnok építéséhez önkormányzati önrész (192/2014. (IV.17.) kgy.hat. és 240/2015. (IV.17.) kgy.hat. alapján)</t>
  </si>
  <si>
    <t>Általános Iskolák tornatermeinek felújítási munkáira (238/2015. (IV.17.) kgy.hat. alapján)</t>
  </si>
  <si>
    <t>Székesfehérvári Stadionrekonstrukciós program megvalósítására, figyelemmel a 1285/2015.(IV.30.) Korm. határozatra, valamint a megvalósítás ütemezésére</t>
  </si>
  <si>
    <t>Hulladéktömörítő és -szállító gépjárművek beszerzésére</t>
  </si>
  <si>
    <t>Székesfehérvári Sóstó Természetvédelmi Terület és Vidámparki csónakázótó rehabilitációjára, figyelemmel a 1285/2015.(IV.30.) Korm. határozatra, valamint a megvalósítás ütemezésére</t>
  </si>
  <si>
    <t>Álláshely</t>
  </si>
  <si>
    <t>Fejlesztési kiadások 2016. évi feladatonkénti megbontása</t>
  </si>
  <si>
    <t>36, Működési költségvetési bevételek összesen (8+30+31+34):</t>
  </si>
  <si>
    <t>37, Felhalmozási költségvetési bevételek összesen (11+33+35):</t>
  </si>
  <si>
    <t>38, Költségvetési bevételek összesen (36+37):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</si>
  <si>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</si>
  <si>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</si>
  <si>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</si>
  <si>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</si>
  <si>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Előző évi felhalmozási célú költségvetési maradvány igénybevétele</t>
  </si>
  <si>
    <t>Előző évi működési célú költségvetési maradvány igénybevétele</t>
  </si>
  <si>
    <t>Közterületi ingatlanok megosztása, művelési ág rendezés</t>
  </si>
  <si>
    <t xml:space="preserve">              Vadásztölténygyári Vasas Ifjúsági és Sport Egyesület- Futballfesztivál megrendezésének támogatása</t>
  </si>
  <si>
    <t xml:space="preserve">             Maroshegyi Ifjúsági Egyesület</t>
  </si>
  <si>
    <t xml:space="preserve">             Honvédség és Társadalom Baráti Kör Székesfehérvári Szervezete</t>
  </si>
  <si>
    <t xml:space="preserve">             Egészség és Kultúra Egyesület - Fehérvár Feszt megrendezésének támogatása </t>
  </si>
  <si>
    <t xml:space="preserve">             Egészség és Kultúra Egyesület - Skate Park és Underground Zenei Központ fejlesztése és működtetése</t>
  </si>
  <si>
    <t xml:space="preserve">            Katonai Emlékpark Közhasznú Nonprofit Kft.- A Katonai Emlékpark kiemelt- elsősorban pedagógiai-programjainak támogatása</t>
  </si>
  <si>
    <t xml:space="preserve">             Székesfehérvári Városszépítő- és Védő Egyesület - Székesfehérvár Hosszútemető műemlék jellegű sírjainak karbantartására, felújítására</t>
  </si>
  <si>
    <t xml:space="preserve">           "Színes Fehérvár" Projekt</t>
  </si>
  <si>
    <t xml:space="preserve">            Fehérvári életpályamodell kidolgozása</t>
  </si>
  <si>
    <t xml:space="preserve">            Ifjúsági koncepcióval kapcsolatos kutatás</t>
  </si>
  <si>
    <t xml:space="preserve">            Székesfehérvári Diáktanács ifjúsági pályázatának megvalósítására</t>
  </si>
  <si>
    <t xml:space="preserve">            Ifjúsági feladatok és a Székesfehérvári Diáktanács működése</t>
  </si>
  <si>
    <t xml:space="preserve">           Gazdaságfejlesztés és azt elősegítő marketing tevékenység</t>
  </si>
  <si>
    <t xml:space="preserve">           Fehérvár kártya</t>
  </si>
  <si>
    <t xml:space="preserve">             Székesfehérvár Ifjúságáért díj megrendezése</t>
  </si>
  <si>
    <t xml:space="preserve">             "Székesfehérvári felsőoktatási intézmények támogatása"</t>
  </si>
  <si>
    <t xml:space="preserve">             Felsőoktatási ösztöndíj rendszer</t>
  </si>
  <si>
    <t xml:space="preserve">             Alba Regia Felsőoktatási Expo megrendezéséhez</t>
  </si>
  <si>
    <t xml:space="preserve">             Klebersberg Intézményfenntartó Központ Székesfehérvári Tankerülete- oktatásszakmai munkájának önkormányzati támogatása</t>
  </si>
  <si>
    <t xml:space="preserve">             Székesfehérvári Szakképzési Centrum - oktatásszakmai munkájának önkormányzati támogatása</t>
  </si>
  <si>
    <t xml:space="preserve">             Székesfehérvári Szakképzési Centrummal való együttműködés</t>
  </si>
  <si>
    <t xml:space="preserve">             Önálló Főiskolai Közalapítvány működési támogatása</t>
  </si>
  <si>
    <t xml:space="preserve">            Városi rendezvények</t>
  </si>
  <si>
    <t xml:space="preserve">           Barátság Mozi működtetése, üzemeltetése - Fejér Megyei Művelődési Központ</t>
  </si>
  <si>
    <t xml:space="preserve">            I. világháborúhoz kapcsolódó filmalkotás elkészítése </t>
  </si>
  <si>
    <t xml:space="preserve">            Köztéri szobor, szökőkút létrehozása</t>
  </si>
  <si>
    <t xml:space="preserve">             HT HAJÓ Innovációs Zrt. - Spirit of Hungary óceáni vitorlázó projekt támogatása</t>
  </si>
  <si>
    <t xml:space="preserve">             Székesfehérvári Szakképzési Centrum Széchenyi István Műszaki Szakközépiskolája - Iskolai Teremlabdarúgó Világbajnokságon történő részvétel támogatása</t>
  </si>
  <si>
    <t>Működési költségvetés összesen</t>
  </si>
  <si>
    <t>Felhalmozási költségvetés összesen</t>
  </si>
  <si>
    <t>Önkormányzat eredeti előirányzata</t>
  </si>
  <si>
    <t>~ Igazgatási tevékenységet érintő átcsoportosítás</t>
  </si>
  <si>
    <t>~ Igazgatási tevékenységet érintő átcsoportosítás általános tartalékról</t>
  </si>
  <si>
    <t>~ Igazgatási tevékenységet érintő átcsoportosítás céltartalékról</t>
  </si>
  <si>
    <t>Önkormányzat 2016. évi költségvetési kiadásai (eFt-ban)</t>
  </si>
  <si>
    <t>Az Önkormányzat költségvetési kiadásai feladatonkénti bontásban</t>
  </si>
  <si>
    <t>Javasolt módosítás      (2)</t>
  </si>
  <si>
    <t>2016. évre áthúzódó         (4)</t>
  </si>
  <si>
    <t>2016. évi előirányzat     (5)</t>
  </si>
  <si>
    <t xml:space="preserve">Költségvetési és finanszírozási egyenleg működési és felhalmozási cél szerinti bontásban (eFt-ban)  </t>
  </si>
  <si>
    <t>Módosított előirányzat</t>
  </si>
  <si>
    <t>Javasolt módosítás</t>
  </si>
  <si>
    <t>b/2</t>
  </si>
  <si>
    <t>b/3</t>
  </si>
  <si>
    <t>c/2</t>
  </si>
  <si>
    <t>c/3</t>
  </si>
  <si>
    <t>d/2</t>
  </si>
  <si>
    <t>d/3</t>
  </si>
  <si>
    <t>d/1=b/1+c/1</t>
  </si>
  <si>
    <t>d/2=b/2+c/2</t>
  </si>
  <si>
    <t>d/3=b/3+c/3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</si>
  <si>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</si>
  <si>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</si>
  <si>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</si>
  <si>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</si>
  <si>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</si>
  <si>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</si>
  <si>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</si>
  <si>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</si>
  <si>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</si>
  <si>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2016. évi kiadásai eFt-ban</t>
  </si>
  <si>
    <t>Székesfehérvár Megyei Jogú Város Önkormányzat és Költségvetési szervei</t>
  </si>
  <si>
    <t>2016. évi bevételei eFt-ban</t>
  </si>
  <si>
    <t>~ Intézményhez lebontva</t>
  </si>
  <si>
    <t>Költségvetési szerveknek lebontás (6)</t>
  </si>
  <si>
    <t>Intézmények 2016. évi felújítása eFt-ban</t>
  </si>
  <si>
    <t>Tervezett felújítási munka</t>
  </si>
  <si>
    <t>Ybl Miklós-program: Intézményfelújítások</t>
  </si>
  <si>
    <t>Egyesített Szociális Intézmény</t>
  </si>
  <si>
    <t>I. számú Idősek Otthona tetőszerkezet és kémények felújítása</t>
  </si>
  <si>
    <t>I. számú Gondozási egység villamos hálózat rekonstrukciója</t>
  </si>
  <si>
    <t>I. számú Gondozási egység tetőtér beépítési munkái</t>
  </si>
  <si>
    <t xml:space="preserve">III. számú Gondozási központ lépcsőházi acél üvegportál cseréje </t>
  </si>
  <si>
    <t>Összesen:</t>
  </si>
  <si>
    <t>Mészöly Géza u. Orvosi rendelő</t>
  </si>
  <si>
    <t>Akadálymentesítéshez, lift kialakításához kapcsolódó munkák</t>
  </si>
  <si>
    <t>Esze Tamás utcai Orvosi rendelő</t>
  </si>
  <si>
    <t>Nyílászáró csere, homlokzat felújítás, belső felújítás burkolással és tisztasági festéssel, vizesblokkok felújítása</t>
  </si>
  <si>
    <t>3. számú Bölcsőde</t>
  </si>
  <si>
    <t>Tetőszigetelés</t>
  </si>
  <si>
    <t>7. számú Bölcsőde</t>
  </si>
  <si>
    <t>Udvar részek balesetveszélyes elemeinek cseréje és felújítása, játszóeszközök felújítása, akadálymentesítés, terasz árnyékoló rendszer felújítása</t>
  </si>
  <si>
    <t>Gyöngyvirág Óvoda-Székesfehérvár-Kindergarten Maiglöckchen</t>
  </si>
  <si>
    <t>Tetőfelújítás</t>
  </si>
  <si>
    <t>Hosszúsétatéri Óvoda Tóvárosi Tagóvodája</t>
  </si>
  <si>
    <t>Tolnai Utcai Óvoda Sziget utcai Tagóvodája</t>
  </si>
  <si>
    <t>Kiszolgáló helyiségek nyílászáró cseréje</t>
  </si>
  <si>
    <t>Tetőszigetelés javítás</t>
  </si>
  <si>
    <t xml:space="preserve">Hosszúsétatéri Óvoda </t>
  </si>
  <si>
    <t>Fűtési rendszer felújítása</t>
  </si>
  <si>
    <t xml:space="preserve">Ligetsori Óvoda </t>
  </si>
  <si>
    <t>Felsővárosi Óvoda Ybl Miklós Lakótelepi Tagóvodája</t>
  </si>
  <si>
    <t>Tetőfelújítási munkák</t>
  </si>
  <si>
    <t>Arany János Óvoda, Általános Iskola, Speciális Szakiskola és Egységes Gyógypedagógiai Módszertani Intézmény</t>
  </si>
  <si>
    <t>Általános Iskola felújításához kapcsolódó előkészítési feladatok</t>
  </si>
  <si>
    <t>Székesfehérvári István Király Általános Iskola</t>
  </si>
  <si>
    <t>Székesfehérvári Németh László Általános Iskola</t>
  </si>
  <si>
    <t>Tóvárosi Általános Iskola</t>
  </si>
  <si>
    <t>Székesfehérvári Bory Jenő Általános Iskola</t>
  </si>
  <si>
    <t xml:space="preserve">Székesfehérvári II. Rákóczi Ferenc Magyar-Angol Két Tanítási Nyelvű Általános Iskola </t>
  </si>
  <si>
    <t xml:space="preserve">Székesfehérvári Vasvári Pál Általános Iskola </t>
  </si>
  <si>
    <t xml:space="preserve">Székesfehérvári Teleki Blanka Gimnázium és Általános Iskola Sziget utcai Tagintézménye </t>
  </si>
  <si>
    <t>Belső udvar, illetve a kézilabda pálya felújítása</t>
  </si>
  <si>
    <t>Székesfehérvári Teleki Blanka Gimnázium és Általános Iskola</t>
  </si>
  <si>
    <t>Homlokzat és nyílászáró felújítás</t>
  </si>
  <si>
    <t>Óvodai, iskolai udvarokon játszóterek telepítési költségeinek kerete</t>
  </si>
  <si>
    <t xml:space="preserve">Polgármesteri Hivatal </t>
  </si>
  <si>
    <t>Polgármesteri Hivatal épületeit érintő felújítások</t>
  </si>
  <si>
    <t>Tartalék keret</t>
  </si>
  <si>
    <t>Vis Maior</t>
  </si>
  <si>
    <t>Integrált Területi Program (ITP) keretében megvalósítani tervezett felújítások</t>
  </si>
  <si>
    <t>Épület energiahatékonysági rekonstrukciója, akadálymentesítése, külső terek felújítása, eszközök beszerzése a TOP 6.2. intézkedés kiírására figyelemmel</t>
  </si>
  <si>
    <t>Tulipános Óvoda</t>
  </si>
  <si>
    <t xml:space="preserve">Rákóczi Utcai Óvoda </t>
  </si>
  <si>
    <t>ITP keretében megvalósítani tervezett felújítások összesen:</t>
  </si>
  <si>
    <t>Mindösszesen:</t>
  </si>
  <si>
    <t>~ Főösszeget nem érintő belső átcsoportosítás</t>
  </si>
  <si>
    <t xml:space="preserve">   Tartalék keret</t>
  </si>
  <si>
    <t>Kríziskezelő Központ</t>
  </si>
  <si>
    <t>Közegészségügyi hiányosságok megszüntetése</t>
  </si>
  <si>
    <t xml:space="preserve">           Székesfehérvári Turisztikai Közhasznú Nonprofit Kft. - törzstőke emeléséhez kapcsolódó pénzbeli hozzájárulás (70/2016.(II.12.) kgy.hat.alapján)</t>
  </si>
  <si>
    <t xml:space="preserve">           Önként vállalt feladat összesen</t>
  </si>
  <si>
    <t>Ebből: Kötelező feladat összesen</t>
  </si>
  <si>
    <t>összesen:</t>
  </si>
  <si>
    <t xml:space="preserve">            Önként vállalt feladat e.i.</t>
  </si>
  <si>
    <t>~ ebből:Kötelező feladate.i.</t>
  </si>
  <si>
    <t>Polgármesteri Hivatal</t>
  </si>
  <si>
    <t>Intézmények összesen:</t>
  </si>
  <si>
    <t>Kulturális ellátás összesen:</t>
  </si>
  <si>
    <t>A Szabadművelődés Háza</t>
  </si>
  <si>
    <t>Ebből: Önként vállalt feladat összesen</t>
  </si>
  <si>
    <t>~ ebből:Önként vállalt feladat e.i.</t>
  </si>
  <si>
    <t>Vörösmarty Színház</t>
  </si>
  <si>
    <t>Alba Regia Szimfonikus Zenekar</t>
  </si>
  <si>
    <t>Szent István Király Múzeum</t>
  </si>
  <si>
    <t>Vörösmarty Mihály Könyvtár</t>
  </si>
  <si>
    <t>Városi Képtár-Deák Gyűjtemény</t>
  </si>
  <si>
    <t>Városi Levéltár és Kutatóintézet</t>
  </si>
  <si>
    <t xml:space="preserve">Székesfehérvári Intézményi Központ </t>
  </si>
  <si>
    <t>Szociális ellátás összesen</t>
  </si>
  <si>
    <t>Humán Szolg. összesen</t>
  </si>
  <si>
    <t>Óvodák összesen</t>
  </si>
  <si>
    <t>Ligetsori Óvoda</t>
  </si>
  <si>
    <t>Szivárvány Óvoda</t>
  </si>
  <si>
    <t>Tolnai Úti Óvoda</t>
  </si>
  <si>
    <t>Szárazréti Óvoda</t>
  </si>
  <si>
    <t>Rákóczi Úti Óvoda</t>
  </si>
  <si>
    <t>Napsugár Óvoda</t>
  </si>
  <si>
    <t>Maroshegyi Óvoda</t>
  </si>
  <si>
    <t>Hosszúsétatéri Óvoda</t>
  </si>
  <si>
    <t>Felsővárosi Óvoda</t>
  </si>
  <si>
    <t>Belvárosi Brunszvik T. Óvoda</t>
  </si>
  <si>
    <t>Árpád Úti Óvoda</t>
  </si>
  <si>
    <t>Bölcsőde összesen</t>
  </si>
  <si>
    <t>8. sz. Bölcsőde</t>
  </si>
  <si>
    <t>7. sz. Bölcsőde</t>
  </si>
  <si>
    <t>Nyitnikék Bölcsőde</t>
  </si>
  <si>
    <t>Napraforgó Bölcsőde</t>
  </si>
  <si>
    <t>3.sz.Bölcsőde</t>
  </si>
  <si>
    <t>Százszorszép Bölcsőde</t>
  </si>
  <si>
    <t>Eü. Ellátás összesen</t>
  </si>
  <si>
    <t>Frim Jakab Képességfejlesztő Szakosított Otthon</t>
  </si>
  <si>
    <t>Humán Szolgáltató Intézet</t>
  </si>
  <si>
    <t>l.=j.+k.</t>
  </si>
  <si>
    <t>k.=d.+g.+i.</t>
  </si>
  <si>
    <t>j.=c.+e +f.+h.</t>
  </si>
  <si>
    <t>g.</t>
  </si>
  <si>
    <t>(B1-8.)</t>
  </si>
  <si>
    <t>(B1-7.)</t>
  </si>
  <si>
    <t>(B2+B5+B7)</t>
  </si>
  <si>
    <t>(B1+B3+B4+B6)</t>
  </si>
  <si>
    <t>Önkormányzati támogatás</t>
  </si>
  <si>
    <t>Bevételek  összesen</t>
  </si>
  <si>
    <t>Finanszírozási bevételek</t>
  </si>
  <si>
    <t>Költségvetési  bevételek összesen</t>
  </si>
  <si>
    <t xml:space="preserve"> Közhatalmi bevételek</t>
  </si>
  <si>
    <t>KÖLTSÉGVETÉSI SZERVEK</t>
  </si>
  <si>
    <t>cím</t>
  </si>
  <si>
    <t>o.=m.+n.</t>
  </si>
  <si>
    <t>n.</t>
  </si>
  <si>
    <t>m.=h.+l.</t>
  </si>
  <si>
    <t>l.=i.+j.+k.</t>
  </si>
  <si>
    <t>k.</t>
  </si>
  <si>
    <t>h.=c.+d.+e.+f.+g.</t>
  </si>
  <si>
    <t>(K1-9.)</t>
  </si>
  <si>
    <t>(K6-8.)</t>
  </si>
  <si>
    <t>(K1-5.)</t>
  </si>
  <si>
    <t>Kiadások  összesen</t>
  </si>
  <si>
    <t>Finanszírozási kiadások</t>
  </si>
  <si>
    <t>Egyéb működési célú  kiadások</t>
  </si>
  <si>
    <t>Ellátottak pénzbeli juttatásai</t>
  </si>
  <si>
    <t>Munkaadókat terhelő járulékok és szocilis hozzájárulási adó</t>
  </si>
  <si>
    <t xml:space="preserve"> INTÉZMÉNYEK</t>
  </si>
  <si>
    <t>Cím</t>
  </si>
  <si>
    <t>Működési költségvetési bevételek összesen</t>
  </si>
  <si>
    <t>Felhalmozási költségvetési bevételek összesen</t>
  </si>
  <si>
    <t>Rákóczi Utcai Óvoda</t>
  </si>
  <si>
    <t>Tolnai Utcai Óvoda</t>
  </si>
  <si>
    <t>Székesfehérvári Család- és Gyermekjóléti Központ</t>
  </si>
  <si>
    <t xml:space="preserve">           Államigazgatási feladat
           összesen</t>
  </si>
  <si>
    <t xml:space="preserve">            Államigazgatási feladat e.i.</t>
  </si>
  <si>
    <t>Költségvetési szervek 2016.évi kiadási előirányzata (eFt-ban)</t>
  </si>
  <si>
    <t>Működési költségvetési kiadások összesen</t>
  </si>
  <si>
    <t>Felhalmozási költségvetési kiadások  összesen</t>
  </si>
  <si>
    <t xml:space="preserve">         Cecei Csók István emlékház fejlesztéséhez hozzájárulás</t>
  </si>
  <si>
    <t xml:space="preserve">I. </t>
  </si>
  <si>
    <t>Igazgatási tevékenység</t>
  </si>
  <si>
    <t>~ Intézményekhez lebontva</t>
  </si>
  <si>
    <t xml:space="preserve">2016. évi előirányzat-felhasználási terv </t>
  </si>
  <si>
    <t>~ Bevétel miatti növekedés</t>
  </si>
  <si>
    <t xml:space="preserve">   Költségvetési szerveknél foglalkoztatottak bérkompenzációja</t>
  </si>
  <si>
    <t xml:space="preserve">              Költségvetési szerveknél foglalkoztatottak bérkompenzációja</t>
  </si>
  <si>
    <t xml:space="preserve">              Kiegészítő támogatás a bölcsödében foglalkoztatott felsőfokú végzettségű kisgyermeknevelők béréhez</t>
  </si>
  <si>
    <t>8. Finanszírozási bevételek összesen (5+6+7+7/a):</t>
  </si>
  <si>
    <t>16/a, Forgatási célú belföldi értékpapírok vásárlása</t>
  </si>
  <si>
    <t>K9121</t>
  </si>
  <si>
    <t>7/a, Forgatási célú belföldi értékpapírok beváltása, értékesítése</t>
  </si>
  <si>
    <t>B8121</t>
  </si>
  <si>
    <t>Forgatási célú belföldi értékpapírok beváltása, értékesítése</t>
  </si>
  <si>
    <t>Forgatási célú belföldi értékpapírok vásárlása</t>
  </si>
  <si>
    <t xml:space="preserve">            Fehérvári Vízilabda Sportegyesület</t>
  </si>
  <si>
    <t>Tác-Gorsium szabadtéri nézőtér, színpadtér felújítása és a megközelítést szolgáló út kavics réteggel történő felújítása</t>
  </si>
  <si>
    <t>Új Módosított előirányzat</t>
  </si>
  <si>
    <t>Önkormányzat I. módosított előirányzat</t>
  </si>
  <si>
    <t>Módosított előirányzat       (1)</t>
  </si>
  <si>
    <t>Új Módosított előirányzat (3)=(1)+(2)</t>
  </si>
  <si>
    <t xml:space="preserve">              Székesfehérvári Szerb Nemzetiségi Önkormányzat- Szerb templom karbantartásához, felújításához</t>
  </si>
  <si>
    <t xml:space="preserve">              Szociális, gyermekjóléti és gyermekvédelmi ágazati pótlék</t>
  </si>
  <si>
    <t>Vagyongazdálkodás</t>
  </si>
  <si>
    <t>Város-és községgazdálkodás</t>
  </si>
  <si>
    <t xml:space="preserve">   Szociális, gyermekjóléti és gyermekvédelmi ágazati pótlék kiegészítő támogatása</t>
  </si>
  <si>
    <t>16/b, Államháztartáson belüli megelőlegezések visszafizetése</t>
  </si>
  <si>
    <t>K914</t>
  </si>
  <si>
    <t xml:space="preserve">   Kábítószer Egyeztető Fórum</t>
  </si>
  <si>
    <t xml:space="preserve">   Központi támogatások és szerződéses kötelmek elszámolása</t>
  </si>
  <si>
    <t xml:space="preserve">   Reprezentáció</t>
  </si>
  <si>
    <t xml:space="preserve">II. </t>
  </si>
  <si>
    <t>Hatósági tevékenység</t>
  </si>
  <si>
    <t xml:space="preserve">    Saára Gyula Program 2015.-Budai u. - Donát u. buszöböl bővítés + forgalmi rend módosítás</t>
  </si>
  <si>
    <t xml:space="preserve">   Székesfehérvári Városfejlesztési Közhasznú Nonprofit Kft.- Ingatlangazdálkodási kiadások lakás és nem lakás célú helyiségek felújítási kerettel</t>
  </si>
  <si>
    <t xml:space="preserve">   Egészséges Városok Magyar Nyelvű Szövetsége</t>
  </si>
  <si>
    <t xml:space="preserve">   Folyékony hulladék elszállítása</t>
  </si>
  <si>
    <t xml:space="preserve">   Könyvkiadás</t>
  </si>
  <si>
    <t xml:space="preserve">             Országos Mentőszolgálat Alapítvány támogatása- a Székesfehérvári Mentőállomás részére mellkasi kompressziós rendszer beszerzéséhez</t>
  </si>
  <si>
    <t xml:space="preserve">   Jubileumi jutalom, jogszabályból fakadó személyi jellegű többlet kifizetések kerete</t>
  </si>
  <si>
    <t xml:space="preserve">   Intézményi kafetéria juttatás fedezetére</t>
  </si>
  <si>
    <t xml:space="preserve">   Kistelepülési könyvtári és közművelődési kiegészítő támogatás (Vörösmarty Könyvtár)</t>
  </si>
  <si>
    <t>~ Polgármesteri Hivatalhoz lebontva</t>
  </si>
  <si>
    <t xml:space="preserve">              Szociális, gyermekjóléti és gyermekvédelmi ágazati pótlék kiegészítő támogatása</t>
  </si>
  <si>
    <t xml:space="preserve">     Alba Volán Sportclub Öttusa Szakosztály - Olimpiai kvótát szerzett sportolók felkészítésére is</t>
  </si>
  <si>
    <t xml:space="preserve">            HSB Team Kft.- II. CEP Fehérvár Félmaraton verseny megrendezésére</t>
  </si>
  <si>
    <t xml:space="preserve">           Alba Triatlon és Szabadidő Sportegyesület - Olimpiai kvótaszerzéshez sportolók felkészítésére is</t>
  </si>
  <si>
    <t xml:space="preserve">            Főnix-Gold FC. Utánpótlásnevelő Sportegyesület</t>
  </si>
  <si>
    <t xml:space="preserve">    Kulturális célú kiadások év közben jelentkező többletfeladatok</t>
  </si>
  <si>
    <t xml:space="preserve">            Fehérvári Öregfiúk Futball Club (vízilabda)</t>
  </si>
  <si>
    <t>~ Igazgatási tevékenységet érintő belső átcsoportosítás</t>
  </si>
  <si>
    <t xml:space="preserve">              Székesfehérvári Egyházmegye - a Prohászka templom fűtés korszerűsítéséhez támogatás</t>
  </si>
  <si>
    <t xml:space="preserve">         Székesfehérvár Művészete Projekt</t>
  </si>
  <si>
    <t xml:space="preserve">              Közalkalmazottak illetményrendezése 2016. július 1. napjától</t>
  </si>
  <si>
    <t>4. Forgatási célú belföldi értékpapírok beváltása, értékesítése</t>
  </si>
  <si>
    <t>II. Finanszírozási bevételek összesen (1+2+3+4)</t>
  </si>
  <si>
    <t>3. Forgatási célú belföldi értékpapírok vásárlása</t>
  </si>
  <si>
    <t>4. Államháztartáson belüli megelőlegezések visszafizetése</t>
  </si>
  <si>
    <t>IV. Finanszírozási kiadások összesen (1+2+3+4)</t>
  </si>
  <si>
    <t xml:space="preserve">           2017. évi Fehérvári Zenei Napok - A Tehetséges Zenészekért Alapítvány</t>
  </si>
  <si>
    <t>Pince, falak, padló utólagos vízszigetelése és kapcsolódó felújítási munkák</t>
  </si>
  <si>
    <t xml:space="preserve">              7674. hrsz.-ú Ingatlan bontásával kapcsolatos kiadásokra</t>
  </si>
  <si>
    <t>Jávor Ottó téri felszíni parkolók kialakítása, terület és parkrendezés</t>
  </si>
  <si>
    <t>Államháztartáson belüli megelőlegezések visszafizetése</t>
  </si>
  <si>
    <t>2016. január 1.</t>
  </si>
  <si>
    <t>2016. február 1.</t>
  </si>
  <si>
    <t>2016. február 15.</t>
  </si>
  <si>
    <t>2016.április 1.</t>
  </si>
  <si>
    <t xml:space="preserve"> Eü. ellátás összesen</t>
  </si>
  <si>
    <t>3. sz. Bölcsőde</t>
  </si>
  <si>
    <t>Nyítnikék Bölcsőde</t>
  </si>
  <si>
    <t>Belvárosi Bunszvik T.Óvoda</t>
  </si>
  <si>
    <t xml:space="preserve">Humán Szolgáltató összesen </t>
  </si>
  <si>
    <t>Székesfehérvári Intézményi Központ</t>
  </si>
  <si>
    <t>Kulturális ellátás összesen</t>
  </si>
  <si>
    <t>Költségvetési szervek összesen:</t>
  </si>
  <si>
    <t>álláshely</t>
  </si>
  <si>
    <t>Költségvetési szervek 2016.évi álláshelyeinek meghatározása</t>
  </si>
  <si>
    <t>~ Egészségfejlesztési terv</t>
  </si>
  <si>
    <t>~ 2015. november 1. és 2016. június 30 között megvalósításra kerülő programokhoz és tárgyi eszköz beszerzéshez kapcsolódó személyi és dologi költségekhez valamint eszközbeszerzéseihez (Képviselői Alap)</t>
  </si>
  <si>
    <t>~2016. évi programajinak megvalósításához kapcsolódó személyi és dologi költségekhez, valamint eszközbeszerzés költségeihez (Képviselői Alap)</t>
  </si>
  <si>
    <t>~Az óvoda udvarának rendbetételéhez, valamint udvari játékok vásárlásához kapcsolódó, 2016. évben felmerüló személyi, dologi és eszköz költségekhez rendbetétele (Képviselői Alap)</t>
  </si>
  <si>
    <t>~Adventi ünnepséghez és egyéb programokhoz kapcsolódó, 2016. évben felmerülő személyi és dologi költségekhez, valamint eszközbeszerzés költségekhez (Képviselői Alap)</t>
  </si>
  <si>
    <t>Székesfehérvári Család és GYEJÓ Központ</t>
  </si>
  <si>
    <t>~ Levéltári Konferencia</t>
  </si>
  <si>
    <t>~ I.Világháborús kültéri tablókiállítás és emlékülés</t>
  </si>
  <si>
    <t>~ Székesfehérvár Művészete Projekt</t>
  </si>
  <si>
    <t xml:space="preserve">~ Bazilikatörténeti konferencia </t>
  </si>
  <si>
    <t>~ Pénztörténeti konferencia megrendezéséhez</t>
  </si>
  <si>
    <t>~ Moskovszky Konferencia, Réber Konferencia</t>
  </si>
  <si>
    <t xml:space="preserve">~ Ünnepi Könyvhét intézményi programjai </t>
  </si>
  <si>
    <t>~Széna Téri Tagkönyvtár által 2015. december 31. napjáig
 megvalósításra kerülő, kultúrát, olvasást és a könyvtárakat népszerűsítő rendezvényekhez kapcsolódó személyi és dologi költségek (Képviselői Alap)</t>
  </si>
  <si>
    <t>~Tolnai utcai Tagkönyvtára által 2016. évben megvalósításra kerülő programokhoz kapcsolódó személyi és dologi költségekhez, valamint eszközbeszerzés költségeihez (Képviselői Alap)</t>
  </si>
  <si>
    <t>~A Széna Téri Tagkönyvtár 2016. évben megvalósuló programjaihoz kapcsolódó személyi és dologi költségekhez, valamint eszközbeszerzés költségeihez (Képviselői Alap)</t>
  </si>
  <si>
    <t>~A Zsolt Utcai Tagkönyvtár 2016. évben megvalósuló programjaihoz kapcsolódó személyi és dologi költségekhez, valamint eszközbeszerzés költségeihez (Képviselői Alap)</t>
  </si>
  <si>
    <t>~ Osszárium megnyítása</t>
  </si>
  <si>
    <t>~ Városházi történelmi órák</t>
  </si>
  <si>
    <t>~ Múzeumi nagykiállítások</t>
  </si>
  <si>
    <t>~ Kralovánszky Alán emléktáblájának állításához</t>
  </si>
  <si>
    <t>~ Gorsium Florália rendezvény megvalósításához kapcsolódó önkormányzati önerőre és a rendezvény előfinanszírozására</t>
  </si>
  <si>
    <t>~ 2016.évi működéséhez és programjaihoz kapcsolódó templomi bérleti díj költségeihez (Képviselői Alap)</t>
  </si>
  <si>
    <t>~ Magyar Kultúra Napja</t>
  </si>
  <si>
    <t>~ Fehérvár köszönti katonáit</t>
  </si>
  <si>
    <t>~ Koronázási Ünnepi Játékok Koronázási Szertartásjátéka</t>
  </si>
  <si>
    <t>~ Október 23-ai megemlékezés gálaműsora</t>
  </si>
  <si>
    <t>~ Aranybulla Művészeti Napok</t>
  </si>
  <si>
    <t>~ Katalin Nap</t>
  </si>
  <si>
    <t>~ Fehérvári Filmes Hetek</t>
  </si>
  <si>
    <t>~Öreghegyi Nyugdíjas Klub 2016. évi programjaihoz kapcsolódó személyi és dologi költségekhez (Polg. Keret)</t>
  </si>
  <si>
    <t>~2016. évben történő tárgyi eszköz beszerzésekhez kapcsolódó költségekhez (Képviselői Alap)</t>
  </si>
  <si>
    <t>~ Szent Sebestyén-nap elnevezésű városrészi rendezvény megvalósításának dologi költségeihez (Közművelődési kiadások)</t>
  </si>
  <si>
    <t>~2016. évben megvalósításra kerülő programokhoz kapcsolódó személyi és dologi költségekhez (Képviselői Alap)</t>
  </si>
  <si>
    <t>~Öreghegyi Nyugdíjas Klub által megvalósításra kerülő programokhoz (Képviselői Alap)</t>
  </si>
  <si>
    <t>~Katolikus Legényegylet működéshez és programjaihoz kapcsolódó személyi és dologi költségekhez (Képviselői Alap)</t>
  </si>
  <si>
    <t>~Felsővárosi NyugdíjasKlub működéséhez és programjaihoz kapcsolódó személyi és dologi költségeihez (Képviselői Alap)</t>
  </si>
  <si>
    <t>~A nyugdíjas torna foglalkozásokhoz kapcsolódó személyi költségeókhez (Képviselői Alap)</t>
  </si>
  <si>
    <t>~A "Nem csak a 20 éveseké a volág" nyugdíjas klub kulturális programjaihoz kapcsolódó személyi és dologi költségekhez (Képviselői Alap)</t>
  </si>
  <si>
    <t>Intézmények összesen</t>
  </si>
  <si>
    <t>~ Hivatal üzemeltetésével kapcsolatos kiadások</t>
  </si>
  <si>
    <t>~ Köztisztviselők rendszeres személyi juttatása és járulékai</t>
  </si>
  <si>
    <t>~ Jutalom és járulékai</t>
  </si>
  <si>
    <t>~ Kafetéria (kifizetői adóval)</t>
  </si>
  <si>
    <t>Költségvetési szervek konkrét célra, 
feladatra jóváhagyott kiadási előirányzatai (eFt-ban)</t>
  </si>
  <si>
    <t>~ Jogszabályból fakadó személyi jellegű többletkifizetések</t>
  </si>
  <si>
    <t>~ Jubileumi jutalom</t>
  </si>
  <si>
    <t>~ Polgármesteri Keret</t>
  </si>
  <si>
    <t>III. módosítás</t>
  </si>
  <si>
    <t>Önkormányzat II. módosított előirányzat</t>
  </si>
  <si>
    <t>~ 3/2016.(II.12.) önkormányzati rendelet 6.§(10) bekezdése szerinti átcsoportosítás</t>
  </si>
  <si>
    <t xml:space="preserve">    Jávor Ottó téri felszíni parkolók kialakítása, terület és parkrendezés</t>
  </si>
  <si>
    <t xml:space="preserve">    Saára Gyula program 2016 - Holicsi utca felújítása</t>
  </si>
  <si>
    <t>Szabadságharcos út 59. szám alatti ingatlan átalakítása - Alba Regia Szimfonikus Zenekar részére próbaterem, raktár és irodahelyiségek kialakítása</t>
  </si>
  <si>
    <t xml:space="preserve">    Szabadságharcos út 59. szám alatti ingatlan átalakítása - Alba Regia Szimfonikus Zenekar részére próbaterem, raktár és irodahelyiségek kialakítása</t>
  </si>
  <si>
    <t xml:space="preserve">   Önkormányzati feladatellátást szolgáló támogatási keret- Ybl Miklós-program: Intézményfelújítások-Tartalék keret</t>
  </si>
  <si>
    <t>Kosárlabdapálya megépítéséhez önkormányzati önrész (468/2014.(VI.27.) kgy.hat. Alapján)</t>
  </si>
  <si>
    <t xml:space="preserve">   Kosárlabdapálya megépítéséhez önkormányzati önrész (468/2014.(VI.27.) kgy.hat. Alapján)</t>
  </si>
  <si>
    <t xml:space="preserve">   Önkormányzati feladatellátást szolgáló támogatási keret - Kosárlabdapálya megépítéséhez önkormányzati önrész (468/2014.(VI.27.) kgy.hat. Alapján)</t>
  </si>
  <si>
    <t>ÚJ Módosított előirányzat</t>
  </si>
  <si>
    <t xml:space="preserve">   Választott tisztségviselők juttatásai (53/2016.(II.12.) kgy.hat.alapján)</t>
  </si>
  <si>
    <t xml:space="preserve">   Választott tisztségviselők juttatásai </t>
  </si>
  <si>
    <t xml:space="preserve"> Önkormányzati feladatellátást szolgáló támogatási keret - Választott tisztségviselők juttatásai</t>
  </si>
  <si>
    <t xml:space="preserve">    Zentai Úti Általános Iskola- Tornaszoba kialakítása (257/2016.(IV.29.) kgy.hat.alapján)</t>
  </si>
  <si>
    <t xml:space="preserve">   Költségvetési szervek működési költségeinek  fedezetére, valamint az új illetve átszervezéssel érintett intézmények megalakulásával és átszervezésével kapcsolatos eseti költségeinek fedezetére- Zentai Úti Általános Iskola- Tornaszoba kialakítása (257/2016.(IV.29.) kgy.hat.alapján)</t>
  </si>
  <si>
    <t xml:space="preserve">Zentai Úti Általános Iskola </t>
  </si>
  <si>
    <t>Tornaszoba kialakítása</t>
  </si>
  <si>
    <t xml:space="preserve">  "Aranybulla" Könyvtár Alapítvány (257/2016.(IV.29.) kgy.hat.alapján)</t>
  </si>
  <si>
    <t xml:space="preserve">   Költségvetési szervek működési költségeinek  fedezetére, valamint az új illetve átszervezéssel érintett intézmények megalakulásával és átszervezésével kapcsolatos eseti költségeinek fedezetére-"Aranybulla" Könyvtár Alapítvány (257/2016.(IV.29.) kgy.hat.alapján)</t>
  </si>
  <si>
    <t xml:space="preserve">   Aranybulla Könyvtár bővítéséhez kapcsolódó beruházási költségek (257/2016.(IV.29.) kgy.hat.alapján)</t>
  </si>
  <si>
    <t xml:space="preserve">   Költségvetési szervek működési költségeinek  fedezetére, valamint az új illetve átszervezéssel érintett intézmények megalakulásával és átszervezésével kapcsolatos eseti költségeinek fedezetére- Aranybulla Könyvtár bővítéséhez kapcsolódó beruházási költségek (257/2016.(IV.29.) kgy.hat.alapján)</t>
  </si>
  <si>
    <t>Aranybulla Könyvtár bővítéséhez kapcsolódó beruházási költségek (257/2016.(IV.29.) kgy.hat.alapján)</t>
  </si>
  <si>
    <t xml:space="preserve">   Jancsár csatorna - ARMCO áteresz átépítése</t>
  </si>
  <si>
    <t xml:space="preserve">   Börgöndpusztáért Érdekvédelmi Egyesület - műfüves focipálya telepítése</t>
  </si>
  <si>
    <t xml:space="preserve">           Börgöndpusztáért Érdekvédelmi Egyesület - műfüves focipálya telepítése</t>
  </si>
  <si>
    <t xml:space="preserve">     Alba Regia Kézilabda Sportegyesület</t>
  </si>
  <si>
    <t xml:space="preserve">             Alba Regia Kézilabda Sportegyesület</t>
  </si>
  <si>
    <t xml:space="preserve">     Egyéb sportszakosztályi támogatások</t>
  </si>
  <si>
    <t xml:space="preserve">    Fehérvár Enthroners Sportegyesület</t>
  </si>
  <si>
    <t xml:space="preserve">    Csákvár Futball Club (székesfehérvári teniszoktatásra)</t>
  </si>
  <si>
    <t xml:space="preserve">    Alba Regia Kézilabda Sportegyesület</t>
  </si>
  <si>
    <t xml:space="preserve">    Egyéb sportszakosztályi támogatások</t>
  </si>
  <si>
    <t xml:space="preserve">    Alba Volán Sportclub Öttusa Szakosztály - Olimpiai kvótát szerzett sportolók felkészítésére is</t>
  </si>
  <si>
    <t xml:space="preserve">   Költségvetési szervek működési költségeinek  fedezetére, valamint az új illetve átszervezéssel érintett intézmények megalakulásával és átszervezésével kapcsolatos eseti költségeinek fedezetére</t>
  </si>
  <si>
    <t xml:space="preserve">           Csákvár Futball Club (székesfehérvári teniszoktatásra)</t>
  </si>
  <si>
    <t xml:space="preserve">           Fehérvár Enthroners Sportegyesület</t>
  </si>
  <si>
    <t xml:space="preserve">         Emléktábla elhelyezéséhez támogatás</t>
  </si>
  <si>
    <t xml:space="preserve">    Emléktábla elhelyezéséhez támogatás</t>
  </si>
  <si>
    <t xml:space="preserve">  Egyéb jogi eljárásokkal kapcsolatos kiadások (284/2016.(IV.29.) kgy.hat.alapján)</t>
  </si>
  <si>
    <t xml:space="preserve">    Egyéb jogi eljárásokkal kapcsolatos kiadások (284/2016.(IV.29.) kgy.hat.alapján)</t>
  </si>
  <si>
    <t xml:space="preserve">   Kodolányi János Főiskola "A" épületének felújítása- a Fejér Megyei Pedagógiai Szakszolgálat Nevelési Tanácsadója elhelyezése érdekében (317/2016.(V.13.) kgy.hat.alapján)</t>
  </si>
  <si>
    <t xml:space="preserve">   Önkormányzati feladatellátást szolgáló támogatási keret-Kodolányi János Főiskola "A" épületének felújítása- a Fejér Megyei Pedagógiai Szakszolgálat Nevelési Tanácsadója elhelyezése érdekében (317/2016.(V.13.) kgy.hat.alapján)</t>
  </si>
  <si>
    <t>Kodolányi János Főiskola "A" épületének felújítása- a Fejér Megyei Pedagógiai Szakszolgálat Nevelési Tanácsadója elhelyezése érdekében (317/2016.(V.13.) kgy.hat.alapján)</t>
  </si>
  <si>
    <t xml:space="preserve">B szárnyban 4 osztályterem kialakítása </t>
  </si>
  <si>
    <t xml:space="preserve">   Székesfehérvári Németh László Általános Iskola - "B" szárnyban 4 osztályterem kialakítása (317/2016.(V.13.) kgy.hat.alapján)</t>
  </si>
  <si>
    <t xml:space="preserve">   Önkormányzati feladatellátást szolgáló támogatási keret-Székesfehérvári Németh László Általános Iskola - "B" szárnyban 4 osztályterem kialakítása (317/2016.(V.13.) kgy.hat.alapján)</t>
  </si>
  <si>
    <t xml:space="preserve">Vizivárosi Általános Iskola </t>
  </si>
  <si>
    <t>Arany János Óvoda, Általános Iskola, Speciális Szakiskola és EGYMI-hez tartozó szegregált autista általános iskolai osztályok elhelyezése érdekében történő felújítási munkák</t>
  </si>
  <si>
    <t xml:space="preserve">   Vizivárosi Általános Iskola- Arany János Óvoda, Általános Iskola, Speciális Szakiskola és EGYMI-hez tartozó szegregált autista általános iskolai osztályok elhelyezése érdekében történő felújítási munkák (317/2016.(V.13.) kgy.hat.alapján)</t>
  </si>
  <si>
    <t xml:space="preserve">   Vörösmarty Mihály Általános Iskola- Arany János Óvoda, Általános Iskola, Speciális Szakiskola és EGYMI-hez tartozó szegregált autista óvodai csoportok elhelyezése érdekében történő felújítási munkák (317/2016.(V.13.) kgy.hat.alapján)</t>
  </si>
  <si>
    <t xml:space="preserve">Vörösmarty Mihály Általános Iskola </t>
  </si>
  <si>
    <t>Arany János Óvoda, Általános Iskola, Speciális Szakiskola és EGYMI-hez tartozó szegregált autista óvodai csoportok elhelyezése érdekében történő felújítási munkák</t>
  </si>
  <si>
    <t xml:space="preserve">   Önkormányzati feladatellátást szolgáló támogatási keret- Vizivárosi Általános Iskola- Arany János Óvoda, Általános Iskola, Speciális Szakiskola és EGYMI-hez tartozó szegregált autista általános iskolai osztályok elhelyezése érdekében történő felújítási munkák (317/2016.(V.13.) kgy.hat.alapján)</t>
  </si>
  <si>
    <t xml:space="preserve">   Önkormányzati feladatellátást szolgáló támogatási keret- Vörösmarty Mihály Általános Iskola- Arany János Óvoda, Általános Iskola, Speciális Szakiskola és EGYMI-hez tartozó szegregált autista óvodai csoportok elhelyezése érdekében történő felújítási munkák (317/2016.(V.13.) kgy.hat.alapján)</t>
  </si>
  <si>
    <t xml:space="preserve">   Székesfehérvári Család- és Gyermekjóléti Központ feladatellátását szolgáló személygépkocsi megvásárlására (367/2016.(V.27.) kgy.hat.alapján)</t>
  </si>
  <si>
    <t xml:space="preserve">   Költségvetési szervek működési költségeinek  fedezetére, valamint az új illetve átszervezéssel érintett intézmények megalakulásával és átszervezésével kapcsolatos eseti költségeinek fedezetére- Székesfehérvári Család- és Gyermekjóléti Központ feladatellátását szolgáló személygépkocsi megvásárlására (367/2016.(V.27.) kgy.hat.alapján)</t>
  </si>
  <si>
    <t xml:space="preserve">   Szent Vendel köz 2.-4.-6. szám alatt lévő ingatlan felújítása, előkészítési költségeire (874/2015.(XII.18.) kgy.hat.alapján)</t>
  </si>
  <si>
    <t xml:space="preserve">   Irányi Dániel utca 4. szám alatti ingatlan megvásárlása (437/2016.(VI.9.) kgy.hat.alapján)</t>
  </si>
  <si>
    <t xml:space="preserve">   Önkormányzati feladatellátást szolgáló támogatási keret-Irányi Dániel utca 4. szám alatti ingatlan megvásárlása (437/2016.(VI.9.) kgy.hat.alapján)</t>
  </si>
  <si>
    <t xml:space="preserve">              Irányi Dániel utca 4. szám alatti ingatlan megvásárlása (437/2016.(VI.9.) kgy.hat.alapján)</t>
  </si>
  <si>
    <t>~ Igazgatási tevékenységet érintő átcsoportosítás általános tartalékra</t>
  </si>
  <si>
    <t>~ Bevételi oldal rendezése (projekt megvalósítás miatt)</t>
  </si>
  <si>
    <t>Európai uniós és hazai forrásból megvalósuló projektek</t>
  </si>
  <si>
    <t>forrásösszetételének bemutatása 2016.-2018. évekre (eFt-ban)</t>
  </si>
  <si>
    <t>Ssz.</t>
  </si>
  <si>
    <t>Projekt megnevezése</t>
  </si>
  <si>
    <t>Státusz</t>
  </si>
  <si>
    <t>2016. év</t>
  </si>
  <si>
    <t>2017. év</t>
  </si>
  <si>
    <t>2018. év</t>
  </si>
  <si>
    <t>Saját erő</t>
  </si>
  <si>
    <t>Támogatás</t>
  </si>
  <si>
    <t>Önk. forrás</t>
  </si>
  <si>
    <t>EU-s forrás</t>
  </si>
  <si>
    <t>Hazai forrás</t>
  </si>
  <si>
    <t>Mindösszesen</t>
  </si>
  <si>
    <t>Mártírok útja csapadékcsatorna főgyűjtő átépítése (KDOP.4.1.1/E)</t>
  </si>
  <si>
    <t>Projektzárás alatt</t>
  </si>
  <si>
    <t>Mártírok útja útfelújítása (KDOP.4.2.1/B)</t>
  </si>
  <si>
    <t>Duális képzés feltételrendszerieinek kialakítása (TÁMOP-4.1.1)</t>
  </si>
  <si>
    <t>Közbiztonság fejlesztése Székesfehérváron a településbiztonság és az ifjúságvédelem előtérbe helyezésével</t>
  </si>
  <si>
    <t>Végrehajtás alatt</t>
  </si>
  <si>
    <t>Székesfehérvári Stadionrekonstrukciós program megvalósítására, figyelemmel a 1285/2015.(IV.30.) Korm. Határozatra, valamint a megvalósítás ütemezésére *</t>
  </si>
  <si>
    <t>Székesfehérvári Sóstó Természetvédelmi Terület és Vidámparki Csónakázótó rehabilitációjára, figyelemmel a 1285/2015.(IV.30.) Korm. Határozatra, valamint a megvalósítás ütemezésére</t>
  </si>
  <si>
    <t>Előkészítés alatt</t>
  </si>
  <si>
    <t>3. számú Bölcsőde - az épület energiahatékonysági rekonstrukciója, akadálymentesítése, külső terek felújítása, eszközök beszerzése a TOP 6.2 intézkedés kiírására figyelemmel</t>
  </si>
  <si>
    <t>Tulipános Óvoda - az épület energiahatékonysági rekonstrukciója, akadálymentesítése, külső terek felújítása, eszközök beszerzése a TOP 6.2 intézkedés kiírására figyelemmel</t>
  </si>
  <si>
    <t>Rákóczi Utcai Óvoda  - az épület energiahatékonysági rekonstrukciója, akadálymentesítése, külső terek felújítása, eszközök beszerzése a TOP 6.2 intézkedés kiírására figyelemmel</t>
  </si>
  <si>
    <t>* megjegyzés: a támogatás összege Áfá-t nem tartalmaz.</t>
  </si>
  <si>
    <t xml:space="preserve">   Tulipános Óvoda - Épület energiahatékonysági rekonstrukciója, akadálymentesítése, külső terek felújítása, eszközök beszerzése a TOP 6.2. intézkedés kiírására figyelemmel</t>
  </si>
  <si>
    <t xml:space="preserve">   A-0-0 főgyűjtő A-0-0-I/5 szakaszának megépítése</t>
  </si>
  <si>
    <t xml:space="preserve">   A-3-0 csapadékcsatorna rekonstrukciója</t>
  </si>
  <si>
    <t xml:space="preserve">   Varga csatorna burkolat kiépítése, Bőrgyár utca</t>
  </si>
  <si>
    <t xml:space="preserve">   Jogszabályok, jogszabályváltozásokhoz kapcsolódó finanszírozási keret</t>
  </si>
  <si>
    <t xml:space="preserve">   Fehérvári Tűzoltó Egyesület</t>
  </si>
  <si>
    <t xml:space="preserve">   Székesfehérvári Városszépítő- és Védő Egyesület - Székesfehérvár Hosszútemető műemlék jellegű sírjainak karbantartására, felújítására</t>
  </si>
  <si>
    <t xml:space="preserve">   Közbiztonság fejlesztése Székesfehérváron a településbiztonság és az ifjúságvédelem előtérbe helyezésével</t>
  </si>
  <si>
    <t xml:space="preserve">   Települési támogatás</t>
  </si>
  <si>
    <t xml:space="preserve">   ifj. Ocskay Gábor Jégcsarnok érintésvédelmi-, tűzvédelmi-, és villámvédelmi munkák elvégzésével kapcsolatos költségekre, valamint tüzivíz tározó kialakítása</t>
  </si>
  <si>
    <t xml:space="preserve">   "ART" mozihálózat digitális fejlesztése</t>
  </si>
  <si>
    <t xml:space="preserve">   Felsőváros vízrendezése I. ütem (A-0-0-I/5 csapadékcsatorna kivitelezése, valamint az A-3-0 csapadékcsatorna rekonstrukciója)</t>
  </si>
  <si>
    <t>Felsőváros vízrendezése I. ütem (A-0-0-I/5 csapadékcsatorna kivitelezése, valamint az A-3-0 csapadékcsatorna rekonstrukciója)</t>
  </si>
  <si>
    <t xml:space="preserve">  Tapintható térkép</t>
  </si>
  <si>
    <t xml:space="preserve">   Főnix-Gold FC. Utánpótlásnevelő Sportegyesület</t>
  </si>
  <si>
    <t xml:space="preserve">   Ingatlanok belterületbe vonásával kapcsolatos költségekre</t>
  </si>
  <si>
    <t xml:space="preserve">    Önkormányzati feladatellátást szolgáló támogatási keret- Ingatlanok belterületbe vonásával kapcsolatos költségekre</t>
  </si>
  <si>
    <t xml:space="preserve">    Önkormányzati feladatellátást szolgáló támogatási keret- Jancsár csatorna - ARMCO áteresz átépítése</t>
  </si>
  <si>
    <t xml:space="preserve">   Kortárs Művészeti Fesztivál- filmvetítés (Szent István Király Múzeum)</t>
  </si>
  <si>
    <t xml:space="preserve">   Nemzeti Emlékhely fejlesztése (Szent István Király Múzeum)</t>
  </si>
  <si>
    <t xml:space="preserve">   "Nem csak a 20 éveseké a világ" Nyugdíjas Klub 2016. évi jubileumi rendezvényeinek megvalósításához kapcsolódó költségekhez hozzájárulás  (A Szabadművelődés Háza)</t>
  </si>
  <si>
    <t xml:space="preserve">   Tavaszköszöntő ünnepségekhez kapcsolódó költségekhez hozzájárulás (Frim Jakab Képességfejlesztő Szakosított Otthon)</t>
  </si>
  <si>
    <t xml:space="preserve">~ Intézményhez lebontva </t>
  </si>
  <si>
    <t xml:space="preserve">   Nemzetközi kapcsolatok - Nagyváradi Majális programon bemutatkozó székesfehérvári királyi bábok szállításának költségeihez (Vörösmarty Színház)</t>
  </si>
  <si>
    <t xml:space="preserve">   Városrészi rendezvények- Csalai Majális, valamint a Feketehegy-Szárazréti Majális elnevezésű városrészi rendezvények lebonyolításának költségeihez (A Szabadművelődés Háza)</t>
  </si>
  <si>
    <t xml:space="preserve">    Kulturális célú kiadások év közben jelentkező többletfeladatok - "Fehérvár köszönti katonáit" (Vörösmarty Színház)</t>
  </si>
  <si>
    <t xml:space="preserve">   Önkormányzati Közalapítványok támogatása- a működésük során felmerülő jogi és pénzügyi feladatainak elvégzésével kapcsolatos kiadásokra (379/2016.(V.27.) kgy.hat.alapján)</t>
  </si>
  <si>
    <t xml:space="preserve">  Püspök-kertvárosi Tagóvoda 2016. évben megvalósuló programjaihoz és tárgyi eszköz beszerzéseihez kapcsolódó költségekhez (Szivárvány Óvoda)</t>
  </si>
  <si>
    <t xml:space="preserve">   Budai Úti Tagkönyvár által 2016. évben megvalósításra kerülő programokhoz kapcsolódó költségekhez (Vörösmarty Mihály Könyvtár)</t>
  </si>
  <si>
    <t xml:space="preserve">  "Székesfehérvár és az I. világháború" elnevezésű középiskolai vetélkedő nyereményeinek költségeihez (Városi Levéltár és Kutatóintézet)</t>
  </si>
  <si>
    <t xml:space="preserve">  Kisfaludi Újság megjelentetéséhez (A Szabadművelődés Háza)</t>
  </si>
  <si>
    <t xml:space="preserve">  Öreghegyi Nyugdíjas Klub által megvalósításra kerülő programokhoz (A Szabadművelődés Háza)</t>
  </si>
  <si>
    <t xml:space="preserve">   Öreghegyi Vígasságok című program megrendezéséhez (A Szabadművelődés Háza)</t>
  </si>
  <si>
    <t xml:space="preserve">   "Székesfehérvári Nóta Klub" által 2016. évben megvalósításra kerülő programokhoz hozzájárulás (A Szabadművelődés Háza)</t>
  </si>
  <si>
    <t xml:space="preserve">            Fehérvári Frizbi Sportegyesület</t>
  </si>
  <si>
    <t xml:space="preserve">   Fehérvári Frizbi Sportegyesület</t>
  </si>
  <si>
    <t xml:space="preserve">    Fehérvár Frizbi Sportegyesület</t>
  </si>
  <si>
    <t xml:space="preserve">             Alba Volán Sportclub Öttusa Szakosztály - Olimpiai kiutazás költségeire</t>
  </si>
  <si>
    <t xml:space="preserve">     Alba Volán Sportclub Öttusa Szakosztály - Olimpiai kiutazás költségeire</t>
  </si>
  <si>
    <t xml:space="preserve">   Önkormányzati Informatikai Központ Nonprofit Kft. - Térfigyelő kamerák telepítésének kivitelezése és kamerarendszerbe történő integrálása (431/2016.(VI.9.) kgy.hat.alapján)</t>
  </si>
  <si>
    <t xml:space="preserve">  Térfigyelő kamerarendszer bővítése (közbiztonság növelését szolgáló fejlesztések megvalósítása)</t>
  </si>
  <si>
    <t xml:space="preserve">           Önkormányzati Közalapítványok támogatása- a működésük során felmerülő jogi és pénzügyi feladatainak elvégzésével kapcsolatos kiadásokra (379/2016.(V.27.) kgy.hat.alapján)</t>
  </si>
  <si>
    <t xml:space="preserve">    Székesfehérvári Turisztikai Közhasznú Nonprofit Kft. - Fehérvári Ajándékbolt átalakítására</t>
  </si>
  <si>
    <t xml:space="preserve">    Alba Volán Sportclub Jégkorong Szakosztály</t>
  </si>
  <si>
    <t xml:space="preserve">   Zöldfelület és parkfenntartás</t>
  </si>
  <si>
    <t xml:space="preserve">   Út-, hídfenntartás</t>
  </si>
  <si>
    <t xml:space="preserve">   Városi karbantartás</t>
  </si>
  <si>
    <t xml:space="preserve">   Önkormányzati feladatellátást szolgáló támogatási keret-Székesfehérvár Városgondnoksága Kft.</t>
  </si>
  <si>
    <t xml:space="preserve">    Önkormányzati feladatellátást szolgáló támogatási keret- Intézményi feladatellátáshoz kapcsolódó előirányzat rendezés</t>
  </si>
  <si>
    <t>Fő és gyűjtőutak felújítása- Berényi u. II. ütem</t>
  </si>
  <si>
    <t>Varga csatorna mederrendezése</t>
  </si>
  <si>
    <t>dr. Koch László utcai parkolóház építése és kapcsolódó egyéb létesítmények</t>
  </si>
  <si>
    <t xml:space="preserve">   Fő és gyűjtőutak felújítása- Berényi u. II. ütem (Berényi u. II. ütem +csapadék + Mikszáth körforgalom)</t>
  </si>
  <si>
    <t xml:space="preserve">   Fő és gyűjtőutak felújítása- Berényi u. II. ütem</t>
  </si>
  <si>
    <t xml:space="preserve">   Varga csatorna mederrendezése</t>
  </si>
  <si>
    <t xml:space="preserve">   Fő és gyűjtőutak felújítása - Ligetsor (Ligetsor felújítás és parkolómező, körforgalom, iskola-óvoda előtti tér, sétány)</t>
  </si>
  <si>
    <t xml:space="preserve">  3. számú Bölcsőde- Épület energiahatékonysági rekonstrukciója, akadálymentesítése, külső terek felújítása, eszközök beszerzése a TOP 6.2. intézkedés kiírására figyelemmel</t>
  </si>
  <si>
    <t xml:space="preserve">   Rákóczi Utcai Óvoda- Épület energiahatékonysági rekonstrukciója, akadálymentesítése, külső terek felújítása, eszközök beszerzése a TOP 6.2. intézkedés kiírására figyelemmel</t>
  </si>
  <si>
    <t xml:space="preserve">   Pozsonyi út felújítása Fiskális és Berényi út között</t>
  </si>
  <si>
    <t xml:space="preserve">   Zombori út felújítása</t>
  </si>
  <si>
    <t xml:space="preserve">   dr. Koch László utcai parkolóház építése és kapcsolódó egyéb létesítmények</t>
  </si>
  <si>
    <t>~ Igazgatási tevékenységet érintő átcsoportosítás céltartalékra</t>
  </si>
  <si>
    <t xml:space="preserve">   Koch László utcai parkolóház építése és kapcsolódó egyéb létesítmények</t>
  </si>
  <si>
    <t xml:space="preserve">Fő és gyűjtőutak felújítása- Berényi u. II. ütem </t>
  </si>
  <si>
    <t xml:space="preserve">   Önkormányzati feladatellátást szolgáló támogatási keret- Személyügyi kiadásokra</t>
  </si>
  <si>
    <t>Túrózsáki út melletti szabadidőpark létrehozása és sétány kialakítása (Túrózsáki út-Bártfai út)</t>
  </si>
  <si>
    <t xml:space="preserve">   Túrózsáki út melletti szabadidőpark létrehozása és sétány kialakítása (Túrózsáki út-Bártfai út)</t>
  </si>
  <si>
    <t xml:space="preserve">   A 130/2016.(II.25.) közgyűlési határozathoz kapcsolódó átcsoportosítás </t>
  </si>
  <si>
    <t xml:space="preserve">    Önkormányzati feladatellátást szolgáló támogatási keret- Kulturális célú kiadások év közben jelentkező többletfeladatok</t>
  </si>
  <si>
    <t xml:space="preserve">    Watthay Ferenc utcai parkoló beléptető rendszer és egykaros sorompó kialakítására</t>
  </si>
  <si>
    <t xml:space="preserve">    Önkormányzati feladatellátást szolgáló támogatási keret- Szent Vendel köz 2.-4.-6. szám alatt lévő ingatlan felújítása, előkészítési költségeire (874/2015.(XII.18.) kgy.hat.alapján)</t>
  </si>
  <si>
    <t>Watthay Ferenc utcai parkoló beléptető rendszer és egykaros sorompó kialakítására</t>
  </si>
  <si>
    <t>23/2016.(V.30.) Önkormányzati rendelet</t>
  </si>
  <si>
    <t>2016.június 1.</t>
  </si>
  <si>
    <t>58/2016.(II.12.) Közgyűlési Határozat</t>
  </si>
  <si>
    <t>~ Bérkompenzáció (III.IV. havi)</t>
  </si>
  <si>
    <t>~ Cafetéria (IV., V. havi)</t>
  </si>
  <si>
    <t>~ A szociális ágazatban dolgozók részére nyútott kiegészítő pótlék (május)</t>
  </si>
  <si>
    <t>~ Tavaszköszöntő ünnepségek dologi költségeihez (Polgármesteri Keret)</t>
  </si>
  <si>
    <t>Módosított  előirányzat</t>
  </si>
  <si>
    <t>~ Püspök-Kertvárosi Tagóvodájának 2016. évben megvalósuló programjaihoz és tárgyi eszköz beszerzéseihez kapcsolódó személyi és dologi költségeihez (Képv.Alap)</t>
  </si>
  <si>
    <t>Módostott előirányzat</t>
  </si>
  <si>
    <t>~ Főösszeget  értintő saját hatáskörű átcsoportosítás</t>
  </si>
  <si>
    <t>~ "Székesfehérvár és az I. világhaború" elnevezésű középiskolai vetélkedő nyereményeinek dologi költségeihez (Képv.Alap)</t>
  </si>
  <si>
    <t>~ Bérkompenzáció (III.havi)</t>
  </si>
  <si>
    <t>~ 58/2016.(II.12.) Kgy. Határozat alapján összevonás miatti előirányzat rendezése</t>
  </si>
  <si>
    <t>~ Kistelepülési könyvtári és közművelődési kiegészítő támogatás (központi)</t>
  </si>
  <si>
    <t>~ Budai Úti Tagkönyvtára által 2016. évben megvalósításra kerülő programokhoz kapcsolódó személyi és dologi költségekhez (Képv.Alap)</t>
  </si>
  <si>
    <t>~ Főösszeget nem értintő saját hatáskörű átcsoportosítás</t>
  </si>
  <si>
    <t>~ "Kortárs Művészeti Fesztivál" - filmvetítések</t>
  </si>
  <si>
    <t>~ "Nemzeti Emlékhely Fejlesztése"</t>
  </si>
  <si>
    <t>~ Intézményi feladatellátáshoz kapcsolódó előirányzat rendezés</t>
  </si>
  <si>
    <t>~ Bútor és eszköz beszerzés</t>
  </si>
  <si>
    <t>~ "Nagyváradi Majális" programon bemutatkozó székesfehérvári királyi bábok szállításának dologi és személyi költségeihez (Nemzetközi Kapcsolatok)</t>
  </si>
  <si>
    <t>~ Fehérvár Köszönti Katonáit (Közművelődi Kiadások)</t>
  </si>
  <si>
    <t>~ "Nem csak a 20 éveseké a világ" Nyugdíjas Klub 2016. évi jubileumi rendezvényeinek megvalósításához kapcsolódó dologi költségekhez (Polgármesteri Keret)</t>
  </si>
  <si>
    <t>~ A Kisfaludy Újság megjelentetéséhez (Képv.Alap)</t>
  </si>
  <si>
    <t>~ Az Öreghegyi Nyugdíjas Klub által megvalósításra kerülő programokhoz (Képv. Alap)</t>
  </si>
  <si>
    <t>~ Az "Öreghegyi Vigasságok" című program megrendezéséhez (Képv.Alap)</t>
  </si>
  <si>
    <t>~ "Nem csak a 20 éveseké a világ" Nyugdíjas Klub 2016. évben megvalósításra kerülő programokhoz kapcsolódó személyi és dologi költségekhez (Képv.Alap)</t>
  </si>
  <si>
    <t>~ "Székesfehérvári Nóta Klub" által 2016. évben megvalósításra kerülő programokhoz kapcsolódó személyi és dologi költségeihez (Képv.Alap)</t>
  </si>
  <si>
    <t>~ A "Csalai Majális" dologi kiadásaihoz és a "Feketehegy-Szárazrét Majális" dologi kiadásaihoz (Városrészi Rendezvények)</t>
  </si>
  <si>
    <t xml:space="preserve">~ Személyügyi kiadásokra </t>
  </si>
  <si>
    <t>~ Személyügyi kiadásokra</t>
  </si>
  <si>
    <t>~ Személyügyi kiadásokra (Könyv, folyóirat)</t>
  </si>
  <si>
    <t>~ Főösszeget érintő saját hatáskörű átcsoportosítás</t>
  </si>
  <si>
    <t>~ " Kortárs Művészeti Fesztivál" - filmvetítések (Szent István Király Múzeum)</t>
  </si>
  <si>
    <t>~ "Nemzeti Emlékhely Fejlesztése" (Szent István Király Múzeum)</t>
  </si>
  <si>
    <t>~ Intézményi feladatellátáshoz kapcsolódó előirányzat rendezés (Szent István Király Múzeum)</t>
  </si>
  <si>
    <t>~ Személyügyi kiadásokra (Polgármesteri Hivatal)</t>
  </si>
  <si>
    <t>~ Képviselői Alap</t>
  </si>
  <si>
    <t>~ Nemzetközi Kapcsolatok</t>
  </si>
  <si>
    <t>~ Városrészi Rendezvények</t>
  </si>
  <si>
    <t>~ Közművelődési kiadások</t>
  </si>
  <si>
    <t>~ Bútor- és eszközbeszerzés kerete (Alba Regia Szimfonikus Zenekar)</t>
  </si>
  <si>
    <t>~ Személyügyi kiadásokra (Könyv, folyóirat) (Polgármesteri Hivatal)</t>
  </si>
  <si>
    <t>~ ebből:Kötelező feladat e.i.</t>
  </si>
  <si>
    <t>~ A Szociális ágazatban dolgozók részére nyújtott kiegészítő pótlék (május)</t>
  </si>
  <si>
    <t>~ Cafetéria (IV.,V.havi)</t>
  </si>
  <si>
    <t>~ Tavaszköszöntő ünnepségek dologi költségeihez (Képv. Alap)</t>
  </si>
  <si>
    <t>~ Püspök-Kertvárosi Tagóvodájának 2016. évben megvalósuló programjaihoz és tárgyi eszköz beszerzéseihez kapcsolódó személyi és dologoi költségeihez (Képv.Alap)</t>
  </si>
  <si>
    <t>~ Főösszeget nem érintő sajtá hatáskörű átcsoportosítás</t>
  </si>
  <si>
    <t>~ Főösszeget érintő sajtá hatáskörű átcsoportosítás</t>
  </si>
  <si>
    <t>~ "Székesfehérvár és az I. világháború" elnevezésű középiskolai vetélkedő nyereményeinek dologi költségeihez (Képv.Alap)</t>
  </si>
  <si>
    <t>~ Bérkompenzáció (III. havi)</t>
  </si>
  <si>
    <t>~ 58/2016.(II.12.) számú Kgy. Határozat alapján összevonás miatti előirányzat rendezés</t>
  </si>
  <si>
    <t>~ Budai Úti Tagkönyvtára által 216. évben megvalósításra kerülő programokhoz kapcsolódó személyi és dologi költségekhez (Képv. Alap)</t>
  </si>
  <si>
    <t>~ "Intézményi feladatellátáshoz kapcsolódó előirányzat rendezés"</t>
  </si>
  <si>
    <t>~ Főösszeget  érintő sajtá hatáskörű átcsoportosítás</t>
  </si>
  <si>
    <t>~ Bútor és eszköz beszerzés kerete</t>
  </si>
  <si>
    <t>~"Nagyváradi Majális" programon bemutatkozó székesfehérvári királyi bábok szállításának dologi és személyi költségeihez (Nemzetközi Kapcsolatok)</t>
  </si>
  <si>
    <t>~ Fehérvár Köszönti Katonáit (Közművelődési Kiadások)</t>
  </si>
  <si>
    <t>~ "Nem csak a 20 éveseké a világ" Nyugdíjas Klub 2016. évi jubileumi rendezvényeinek megvalósításhoz kapcsolódó dologi költségekhez (Polgármesteri Keret)</t>
  </si>
  <si>
    <t>~ Kisfaludi Újság megjelentetéséhez (Képv. Alap)</t>
  </si>
  <si>
    <t>~ Az Öreghegyi Nyugdíjas Klub által megvalósításra kerülő programokhoz (Képv.Alap)</t>
  </si>
  <si>
    <t>~ Az"Öreghegyi Vigasságok" című program megrendezéséhez (Képv. Alap)</t>
  </si>
  <si>
    <t>~ " Nem csak a 20 éveseké a világ" nyugdíjas klub által 2016. évben megvalósításra kerülő programokhoz kapcsolódó személyi és dologi költségekhez (Képv.Alap)</t>
  </si>
  <si>
    <t>~ "Székesfehérvári Nóta Klub"' által 2016. évben megvalósításra kerülő programokhoz kapcsolódó személyi és dologi költségeihez (Képv.Alap)</t>
  </si>
  <si>
    <t>~ A "Csalai Majális" dologi kiadásaihoz és a "Feketegy-Szárazrét Majális" dologi kiadásaihoz (Városrészi Rendezvények)</t>
  </si>
  <si>
    <t>~ Bérkompenzáció (III.IV.havi)</t>
  </si>
  <si>
    <t>~ Képviselő Alapok</t>
  </si>
  <si>
    <t>Frim Jakab Kép.fejlesztő Szak.O.</t>
  </si>
  <si>
    <t>~Tavaszköszöntő ünnepségekhez kapcsolódó dologi költségekhez (Polgármesteri keret)</t>
  </si>
  <si>
    <t>~Püspök-kertvárosi Tagóvodájának 2016. évben megvalósuló programjaihoz és tárgyi eszköz beszerzéseihez kapcsolódó személyi és dologi költségekhez (Képviselői Alap)</t>
  </si>
  <si>
    <t>~Székesfehérvár és az I. világháború" elnevezésű középiskolai vetélkedő nyereményeinek dologi költségeihez (Közművelődési keret)</t>
  </si>
  <si>
    <t>~Budai Úti Tagkönyvtára által 2016. évben megvalósításra kerülő programokhoz kapcsolódó szmélyi és dologi költségekhez (Képviselői Alap)</t>
  </si>
  <si>
    <t>~ "Kortárs Művészeti Fesztivál-fílmvetítések"</t>
  </si>
  <si>
    <t>~"Nemzeti Emlékhely fejlesztése"</t>
  </si>
  <si>
    <t>~Nagyváradi Majális programon bemutatkozó székesfehérvári királyi bábok szállításának dologi és személyi költségeihez (Nemzetközi kapcsolatok)</t>
  </si>
  <si>
    <t>~"Fehérvár köszönti katonáit" rendezvény programokra (Fehérvár köszönti katonáit)</t>
  </si>
  <si>
    <t>~"Nem  csak a 20 éveseké a világ" Nyugdíjas klub 2016. évi jubileumi rendezvényeinek megvalósításához kapcsolódó dologi költségekhez (Polgármesteri keret)</t>
  </si>
  <si>
    <t>~A Kisfaludi Újság megjelentetéséhez (Képviselői Alap)</t>
  </si>
  <si>
    <t>~Az Öreghegyi Nyugdíjas Klub által megvalósításra kerülő programokhoz (Képviselői Alap)</t>
  </si>
  <si>
    <t>~Az Öreghegyi Vígasságok című program megrendezéséhez (Képviselői Alap)</t>
  </si>
  <si>
    <t>~"Nem csak a 20 éveseké a világ" nyugdíjas klub által 2016. évben megvalósításra kerülő programokhoz kapcsolódó személyi és dologi költségekhez (Kéviselői Alap)</t>
  </si>
  <si>
    <t>~"Székesfehérvári Nóta Klub" által 2016. évben megvalósításra kerülő programokhoz kapcsolódó személyi és dologi költségekhez (Képviselői Alap)</t>
  </si>
  <si>
    <t>~A Csalai Majális dologi kiadásaihoz és a Feketehegy-Szárazréti Majális dologi kiadásaihoz (Városrészi rendezvények)</t>
  </si>
  <si>
    <t xml:space="preserve">   Önkormányzati feladatellátást szolgáló támogatási keret- Bevételi oldal rendezése </t>
  </si>
  <si>
    <t xml:space="preserve">   Sportlétesítmények</t>
  </si>
  <si>
    <t xml:space="preserve">    Önkormányzati feladatellátást szolgáló támogatási keret- Bútor- és eszközbeszerzés keretére (Alba Regia Szimfonikus Zenekar)</t>
  </si>
  <si>
    <t xml:space="preserve">    Önkormányzati feladatellátást szolgáló támogatási keret- Emléktábla elhelyezéséhez támogatás</t>
  </si>
  <si>
    <t>Helyi foglalkoztatási együttműködések Székesfehérvár és járása területén</t>
  </si>
  <si>
    <t xml:space="preserve">            Helyi foglalkoztatási együttműködések Székesfehérvár és járása területén</t>
  </si>
  <si>
    <t xml:space="preserve">   Helyi foglalkoztatási együttműködések Székesfehérvár és járása területén</t>
  </si>
  <si>
    <t xml:space="preserve">   Székesfehérvári Egyházmegye vagy az Egyházmegye által megjelölt, önálló jogi személyiséggel bíró szervezeti egysége - Székesfehérvár-Belváros Római Katolikus Plébánia felújításának támogatása</t>
  </si>
  <si>
    <t xml:space="preserve">              Székesfehérvári Egyházmegye vagy az Egyházmegye által megjelölt, önálló jogi személyiséggel bíró szervezeti egysége - Székesfehérvár-Belváros Római Katolikus Plébánia felújításának támogatása</t>
  </si>
  <si>
    <t xml:space="preserve">              Székesfehérvári Egyházmegye vagy az Egyházmegye által megjelölt, önálló jogi személyiséggel bíró szervezeti egysége- a Prohászka templom fűtés korszerűsítéséhez támogatás</t>
  </si>
  <si>
    <t xml:space="preserve">   Székesfehérvári Egyházmegye - a Prohászka templom fűtés korszerűsítéséhez támogatás</t>
  </si>
  <si>
    <t xml:space="preserve">   Székesfehérvári Egyházmegye vagy az Egyházmegye által megjelölt, önálló jogi személyiséggel bíró szervezeti egysége- a Prohászka templom fűtés korszerűsítéséhez támogatás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</si>
</sst>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F_t_-;\-* #,##0.00\ _F_t_-;_-* &quot;-&quot;??\ _F_t_-;_-@_-"/>
  </numFmts>
  <fonts count="68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sz val="8"/>
      <name val="Times New Roman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 CE"/>
    </font>
    <font>
      <b/>
      <sz val="12"/>
      <name val="Times New Roman CE"/>
    </font>
    <font>
      <i/>
      <sz val="12"/>
      <name val="Times New Roman CE"/>
    </font>
    <font>
      <b/>
      <sz val="10"/>
      <name val="Times New Roman CE"/>
      <family val="1"/>
      <charset val="238"/>
    </font>
    <font>
      <b/>
      <sz val="10"/>
      <name val="Times New Roman CE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color indexed="8"/>
      <name val="Calibri"/>
      <family val="2"/>
      <charset val="238"/>
    </font>
    <font>
      <b/>
      <sz val="8"/>
      <name val="Times New Roman CE"/>
    </font>
    <font>
      <sz val="10"/>
      <name val="Times New Roman CE"/>
      <family val="1"/>
      <charset val="238"/>
    </font>
    <font>
      <i/>
      <sz val="12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2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22" fillId="3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24" fillId="20" borderId="1" applyNumberFormat="0" applyAlignment="0" applyProtection="0"/>
    <xf numFmtId="0" fontId="15" fillId="21" borderId="2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20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4" fontId="4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0" fillId="7" borderId="1" applyNumberFormat="0" applyAlignment="0" applyProtection="0"/>
    <xf numFmtId="0" fontId="4" fillId="22" borderId="7" applyNumberFormat="0" applyFont="0" applyAlignment="0" applyProtection="0"/>
    <xf numFmtId="0" fontId="26" fillId="22" borderId="7" applyNumberFormat="0" applyFont="0" applyAlignment="0" applyProtection="0"/>
    <xf numFmtId="0" fontId="26" fillId="22" borderId="7" applyNumberFormat="0" applyFont="0" applyAlignment="0" applyProtection="0"/>
    <xf numFmtId="0" fontId="7" fillId="22" borderId="7" applyNumberFormat="0" applyFont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0" fontId="17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4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4" fillId="0" borderId="0"/>
    <xf numFmtId="0" fontId="26" fillId="0" borderId="0"/>
    <xf numFmtId="0" fontId="46" fillId="0" borderId="0"/>
    <xf numFmtId="0" fontId="8" fillId="0" borderId="0"/>
    <xf numFmtId="0" fontId="26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28" fillId="0" borderId="0"/>
    <xf numFmtId="0" fontId="7" fillId="0" borderId="0"/>
    <xf numFmtId="0" fontId="47" fillId="0" borderId="0"/>
    <xf numFmtId="0" fontId="47" fillId="0" borderId="0"/>
    <xf numFmtId="0" fontId="41" fillId="0" borderId="0"/>
    <xf numFmtId="0" fontId="29" fillId="0" borderId="0"/>
    <xf numFmtId="0" fontId="29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26" fillId="0" borderId="0"/>
    <xf numFmtId="0" fontId="26" fillId="0" borderId="0"/>
    <xf numFmtId="0" fontId="8" fillId="22" borderId="7" applyNumberFormat="0" applyFont="0" applyAlignment="0" applyProtection="0"/>
    <xf numFmtId="0" fontId="19" fillId="20" borderId="8" applyNumberForma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11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4" fillId="0" borderId="0"/>
    <xf numFmtId="0" fontId="26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50" fillId="0" borderId="0"/>
    <xf numFmtId="0" fontId="50" fillId="0" borderId="0"/>
    <xf numFmtId="164" fontId="3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26" fillId="0" borderId="0"/>
    <xf numFmtId="0" fontId="1" fillId="0" borderId="0"/>
  </cellStyleXfs>
  <cellXfs count="1008">
    <xf numFmtId="0" fontId="0" fillId="0" borderId="0" xfId="0"/>
    <xf numFmtId="0" fontId="26" fillId="0" borderId="0" xfId="157"/>
    <xf numFmtId="0" fontId="31" fillId="0" borderId="0" xfId="180" applyFont="1" applyFill="1"/>
    <xf numFmtId="3" fontId="30" fillId="0" borderId="13" xfId="173" applyNumberFormat="1" applyFont="1" applyFill="1" applyBorder="1" applyAlignment="1">
      <alignment wrapText="1"/>
    </xf>
    <xf numFmtId="0" fontId="31" fillId="0" borderId="0" xfId="180" applyFont="1" applyFill="1" applyBorder="1"/>
    <xf numFmtId="0" fontId="34" fillId="0" borderId="10" xfId="176" applyFont="1" applyBorder="1" applyAlignment="1">
      <alignment horizontal="center" wrapText="1"/>
    </xf>
    <xf numFmtId="3" fontId="5" fillId="0" borderId="39" xfId="176" applyNumberFormat="1" applyFont="1" applyBorder="1" applyAlignment="1">
      <alignment horizontal="center" wrapText="1"/>
    </xf>
    <xf numFmtId="0" fontId="29" fillId="0" borderId="0" xfId="172"/>
    <xf numFmtId="3" fontId="5" fillId="0" borderId="10" xfId="176" applyNumberFormat="1" applyFont="1" applyBorder="1" applyAlignment="1">
      <alignment horizontal="center" wrapText="1"/>
    </xf>
    <xf numFmtId="3" fontId="4" fillId="0" borderId="20" xfId="176" applyNumberFormat="1" applyFont="1" applyFill="1" applyBorder="1"/>
    <xf numFmtId="3" fontId="4" fillId="0" borderId="21" xfId="176" applyNumberFormat="1" applyFont="1" applyFill="1" applyBorder="1"/>
    <xf numFmtId="3" fontId="4" fillId="0" borderId="11" xfId="176" applyNumberFormat="1" applyFont="1" applyFill="1" applyBorder="1"/>
    <xf numFmtId="3" fontId="5" fillId="0" borderId="11" xfId="176" applyNumberFormat="1" applyFont="1" applyFill="1" applyBorder="1"/>
    <xf numFmtId="0" fontId="34" fillId="0" borderId="11" xfId="176" applyFont="1" applyBorder="1" applyAlignment="1">
      <alignment wrapText="1"/>
    </xf>
    <xf numFmtId="3" fontId="34" fillId="0" borderId="11" xfId="176" applyNumberFormat="1" applyFont="1" applyFill="1" applyBorder="1"/>
    <xf numFmtId="0" fontId="29" fillId="0" borderId="0" xfId="172" applyFont="1"/>
    <xf numFmtId="0" fontId="35" fillId="0" borderId="11" xfId="176" applyFont="1" applyBorder="1" applyAlignment="1">
      <alignment wrapText="1"/>
    </xf>
    <xf numFmtId="3" fontId="35" fillId="0" borderId="20" xfId="176" applyNumberFormat="1" applyFont="1" applyFill="1" applyBorder="1"/>
    <xf numFmtId="3" fontId="35" fillId="0" borderId="11" xfId="176" applyNumberFormat="1" applyFont="1" applyFill="1" applyBorder="1"/>
    <xf numFmtId="3" fontId="35" fillId="0" borderId="21" xfId="176" applyNumberFormat="1" applyFont="1" applyFill="1" applyBorder="1"/>
    <xf numFmtId="3" fontId="4" fillId="0" borderId="20" xfId="176" applyNumberFormat="1" applyFill="1" applyBorder="1"/>
    <xf numFmtId="3" fontId="4" fillId="0" borderId="11" xfId="176" applyNumberFormat="1" applyFill="1" applyBorder="1"/>
    <xf numFmtId="0" fontId="36" fillId="0" borderId="11" xfId="176" applyFont="1" applyBorder="1" applyAlignment="1">
      <alignment wrapText="1"/>
    </xf>
    <xf numFmtId="3" fontId="37" fillId="0" borderId="11" xfId="176" applyNumberFormat="1" applyFont="1" applyFill="1" applyBorder="1"/>
    <xf numFmtId="3" fontId="37" fillId="0" borderId="20" xfId="176" applyNumberFormat="1" applyFont="1" applyFill="1" applyBorder="1"/>
    <xf numFmtId="0" fontId="38" fillId="0" borderId="0" xfId="172" applyFont="1"/>
    <xf numFmtId="3" fontId="6" fillId="0" borderId="20" xfId="176" applyNumberFormat="1" applyFont="1" applyFill="1" applyBorder="1"/>
    <xf numFmtId="3" fontId="6" fillId="0" borderId="11" xfId="176" applyNumberFormat="1" applyFont="1" applyFill="1" applyBorder="1"/>
    <xf numFmtId="3" fontId="6" fillId="0" borderId="21" xfId="176" applyNumberFormat="1" applyFont="1" applyFill="1" applyBorder="1"/>
    <xf numFmtId="3" fontId="37" fillId="0" borderId="21" xfId="176" applyNumberFormat="1" applyFont="1" applyFill="1" applyBorder="1"/>
    <xf numFmtId="3" fontId="36" fillId="0" borderId="11" xfId="176" applyNumberFormat="1" applyFont="1" applyFill="1" applyBorder="1"/>
    <xf numFmtId="0" fontId="35" fillId="0" borderId="11" xfId="176" applyFont="1" applyFill="1" applyBorder="1" applyAlignment="1">
      <alignment wrapText="1"/>
    </xf>
    <xf numFmtId="0" fontId="29" fillId="0" borderId="0" xfId="172" applyFill="1"/>
    <xf numFmtId="0" fontId="29" fillId="0" borderId="0" xfId="172" applyFont="1" applyFill="1"/>
    <xf numFmtId="0" fontId="34" fillId="0" borderId="40" xfId="176" applyFont="1" applyBorder="1" applyAlignment="1">
      <alignment wrapText="1"/>
    </xf>
    <xf numFmtId="3" fontId="5" fillId="0" borderId="19" xfId="176" applyNumberFormat="1" applyFont="1" applyFill="1" applyBorder="1"/>
    <xf numFmtId="3" fontId="5" fillId="0" borderId="40" xfId="176" applyNumberFormat="1" applyFont="1" applyFill="1" applyBorder="1"/>
    <xf numFmtId="3" fontId="5" fillId="0" borderId="41" xfId="176" applyNumberFormat="1" applyFont="1" applyFill="1" applyBorder="1"/>
    <xf numFmtId="3" fontId="5" fillId="0" borderId="10" xfId="176" applyNumberFormat="1" applyFont="1" applyFill="1" applyBorder="1"/>
    <xf numFmtId="0" fontId="35" fillId="0" borderId="40" xfId="176" applyFont="1" applyBorder="1" applyAlignment="1">
      <alignment wrapText="1"/>
    </xf>
    <xf numFmtId="3" fontId="4" fillId="0" borderId="40" xfId="176" applyNumberFormat="1" applyFill="1" applyBorder="1"/>
    <xf numFmtId="3" fontId="4" fillId="0" borderId="41" xfId="176" applyNumberFormat="1" applyFill="1" applyBorder="1"/>
    <xf numFmtId="0" fontId="39" fillId="0" borderId="0" xfId="172" applyFont="1"/>
    <xf numFmtId="3" fontId="4" fillId="0" borderId="42" xfId="176" applyNumberFormat="1" applyFont="1" applyFill="1" applyBorder="1"/>
    <xf numFmtId="3" fontId="4" fillId="0" borderId="43" xfId="176" applyNumberFormat="1" applyFont="1" applyFill="1" applyBorder="1"/>
    <xf numFmtId="0" fontId="40" fillId="0" borderId="0" xfId="172" applyFont="1"/>
    <xf numFmtId="3" fontId="5" fillId="0" borderId="42" xfId="176" applyNumberFormat="1" applyFont="1" applyFill="1" applyBorder="1"/>
    <xf numFmtId="0" fontId="34" fillId="0" borderId="42" xfId="176" applyFont="1" applyBorder="1" applyAlignment="1">
      <alignment wrapText="1"/>
    </xf>
    <xf numFmtId="0" fontId="34" fillId="0" borderId="10" xfId="176" applyFont="1" applyBorder="1" applyAlignment="1">
      <alignment wrapText="1"/>
    </xf>
    <xf numFmtId="3" fontId="34" fillId="0" borderId="44" xfId="176" applyNumberFormat="1" applyFont="1" applyFill="1" applyBorder="1"/>
    <xf numFmtId="3" fontId="34" fillId="0" borderId="45" xfId="176" applyNumberFormat="1" applyFont="1" applyFill="1" applyBorder="1"/>
    <xf numFmtId="3" fontId="34" fillId="0" borderId="10" xfId="176" applyNumberFormat="1" applyFont="1" applyFill="1" applyBorder="1"/>
    <xf numFmtId="3" fontId="37" fillId="0" borderId="10" xfId="176" applyNumberFormat="1" applyFont="1" applyFill="1" applyBorder="1"/>
    <xf numFmtId="0" fontId="34" fillId="0" borderId="46" xfId="176" applyFont="1" applyBorder="1" applyAlignment="1">
      <alignment wrapText="1"/>
    </xf>
    <xf numFmtId="3" fontId="34" fillId="0" borderId="0" xfId="176" applyNumberFormat="1" applyFont="1" applyFill="1" applyBorder="1"/>
    <xf numFmtId="3" fontId="30" fillId="0" borderId="0" xfId="172" applyNumberFormat="1" applyFont="1" applyFill="1" applyBorder="1"/>
    <xf numFmtId="0" fontId="30" fillId="0" borderId="47" xfId="172" applyFont="1" applyBorder="1" applyAlignment="1">
      <alignment wrapText="1"/>
    </xf>
    <xf numFmtId="3" fontId="31" fillId="0" borderId="11" xfId="172" applyNumberFormat="1" applyFont="1" applyBorder="1" applyAlignment="1">
      <alignment wrapText="1"/>
    </xf>
    <xf numFmtId="3" fontId="31" fillId="0" borderId="24" xfId="172" applyNumberFormat="1" applyFont="1" applyFill="1" applyBorder="1" applyAlignment="1">
      <alignment wrapText="1"/>
    </xf>
    <xf numFmtId="3" fontId="31" fillId="0" borderId="22" xfId="172" applyNumberFormat="1" applyFont="1" applyFill="1" applyBorder="1"/>
    <xf numFmtId="0" fontId="30" fillId="0" borderId="11" xfId="172" applyFont="1" applyBorder="1" applyAlignment="1">
      <alignment wrapText="1"/>
    </xf>
    <xf numFmtId="3" fontId="31" fillId="0" borderId="11" xfId="172" applyNumberFormat="1" applyFont="1" applyFill="1" applyBorder="1" applyAlignment="1">
      <alignment wrapText="1"/>
    </xf>
    <xf numFmtId="3" fontId="30" fillId="0" borderId="11" xfId="172" applyNumberFormat="1" applyFont="1" applyBorder="1" applyAlignment="1">
      <alignment wrapText="1"/>
    </xf>
    <xf numFmtId="3" fontId="31" fillId="0" borderId="0" xfId="172" applyNumberFormat="1" applyFont="1"/>
    <xf numFmtId="3" fontId="30" fillId="0" borderId="15" xfId="172" applyNumberFormat="1" applyFont="1" applyBorder="1"/>
    <xf numFmtId="3" fontId="31" fillId="0" borderId="0" xfId="172" applyNumberFormat="1" applyFont="1" applyAlignment="1"/>
    <xf numFmtId="3" fontId="31" fillId="0" borderId="0" xfId="172" applyNumberFormat="1" applyFont="1" applyBorder="1"/>
    <xf numFmtId="3" fontId="30" fillId="0" borderId="0" xfId="172" applyNumberFormat="1" applyFont="1" applyBorder="1"/>
    <xf numFmtId="0" fontId="31" fillId="0" borderId="0" xfId="172" applyFont="1"/>
    <xf numFmtId="3" fontId="31" fillId="0" borderId="0" xfId="176" applyNumberFormat="1" applyFont="1" applyBorder="1" applyAlignment="1">
      <alignment wrapText="1"/>
    </xf>
    <xf numFmtId="0" fontId="25" fillId="0" borderId="0" xfId="172" applyFont="1" applyBorder="1"/>
    <xf numFmtId="0" fontId="31" fillId="0" borderId="0" xfId="172" applyFont="1" applyBorder="1"/>
    <xf numFmtId="0" fontId="32" fillId="0" borderId="0" xfId="172" applyFont="1" applyBorder="1"/>
    <xf numFmtId="0" fontId="35" fillId="0" borderId="0" xfId="172" applyFont="1" applyBorder="1"/>
    <xf numFmtId="0" fontId="35" fillId="0" borderId="0" xfId="172" applyFont="1"/>
    <xf numFmtId="0" fontId="34" fillId="0" borderId="10" xfId="171" applyFont="1" applyBorder="1" applyAlignment="1">
      <alignment horizontal="centerContinuous"/>
    </xf>
    <xf numFmtId="3" fontId="34" fillId="0" borderId="10" xfId="171" applyNumberFormat="1" applyFont="1" applyBorder="1" applyAlignment="1">
      <alignment horizontal="centerContinuous" wrapText="1"/>
    </xf>
    <xf numFmtId="0" fontId="35" fillId="0" borderId="0" xfId="171" applyFont="1" applyAlignment="1">
      <alignment horizontal="centerContinuous"/>
    </xf>
    <xf numFmtId="3" fontId="34" fillId="0" borderId="48" xfId="171" applyNumberFormat="1" applyFont="1" applyBorder="1" applyAlignment="1">
      <alignment horizontal="centerContinuous" wrapText="1"/>
    </xf>
    <xf numFmtId="0" fontId="35" fillId="0" borderId="0" xfId="171" applyFont="1" applyAlignment="1">
      <alignment horizontal="centerContinuous" wrapText="1"/>
    </xf>
    <xf numFmtId="0" fontId="34" fillId="0" borderId="50" xfId="171" applyFont="1" applyBorder="1" applyAlignment="1">
      <alignment horizontal="centerContinuous" wrapText="1"/>
    </xf>
    <xf numFmtId="3" fontId="34" fillId="0" borderId="51" xfId="171" applyNumberFormat="1" applyFont="1" applyBorder="1" applyAlignment="1">
      <alignment horizontal="centerContinuous" wrapText="1"/>
    </xf>
    <xf numFmtId="3" fontId="34" fillId="0" borderId="52" xfId="171" applyNumberFormat="1" applyFont="1" applyBorder="1" applyAlignment="1">
      <alignment horizontal="centerContinuous" wrapText="1"/>
    </xf>
    <xf numFmtId="0" fontId="35" fillId="0" borderId="53" xfId="171" applyFont="1" applyBorder="1"/>
    <xf numFmtId="3" fontId="35" fillId="0" borderId="53" xfId="171" applyNumberFormat="1" applyFont="1" applyBorder="1"/>
    <xf numFmtId="3" fontId="35" fillId="0" borderId="54" xfId="171" applyNumberFormat="1" applyFont="1" applyBorder="1"/>
    <xf numFmtId="3" fontId="35" fillId="0" borderId="55" xfId="171" applyNumberFormat="1" applyFont="1" applyBorder="1"/>
    <xf numFmtId="3" fontId="35" fillId="0" borderId="56" xfId="171" applyNumberFormat="1" applyFont="1" applyBorder="1"/>
    <xf numFmtId="3" fontId="5" fillId="0" borderId="57" xfId="171" applyNumberFormat="1" applyFont="1" applyBorder="1"/>
    <xf numFmtId="3" fontId="5" fillId="0" borderId="58" xfId="171" applyNumberFormat="1" applyFont="1" applyBorder="1"/>
    <xf numFmtId="3" fontId="5" fillId="0" borderId="59" xfId="171" applyNumberFormat="1" applyFont="1" applyBorder="1"/>
    <xf numFmtId="3" fontId="5" fillId="0" borderId="49" xfId="171" applyNumberFormat="1" applyFont="1" applyBorder="1"/>
    <xf numFmtId="0" fontId="35" fillId="0" borderId="0" xfId="171" applyFont="1"/>
    <xf numFmtId="0" fontId="35" fillId="0" borderId="11" xfId="171" applyFont="1" applyBorder="1" applyAlignment="1">
      <alignment wrapText="1"/>
    </xf>
    <xf numFmtId="3" fontId="35" fillId="0" borderId="11" xfId="171" applyNumberFormat="1" applyFont="1" applyBorder="1"/>
    <xf numFmtId="3" fontId="35" fillId="0" borderId="12" xfId="171" applyNumberFormat="1" applyFont="1" applyBorder="1"/>
    <xf numFmtId="3" fontId="5" fillId="0" borderId="12" xfId="171" applyNumberFormat="1" applyFont="1" applyBorder="1"/>
    <xf numFmtId="3" fontId="5" fillId="0" borderId="60" xfId="171" applyNumberFormat="1" applyFont="1" applyBorder="1"/>
    <xf numFmtId="3" fontId="5" fillId="0" borderId="61" xfId="171" applyNumberFormat="1" applyFont="1" applyBorder="1"/>
    <xf numFmtId="3" fontId="5" fillId="0" borderId="11" xfId="171" applyNumberFormat="1" applyFont="1" applyBorder="1"/>
    <xf numFmtId="0" fontId="35" fillId="0" borderId="11" xfId="171" applyFont="1" applyBorder="1"/>
    <xf numFmtId="3" fontId="35" fillId="0" borderId="62" xfId="171" applyNumberFormat="1" applyFont="1" applyBorder="1"/>
    <xf numFmtId="3" fontId="5" fillId="0" borderId="62" xfId="171" applyNumberFormat="1" applyFont="1" applyBorder="1"/>
    <xf numFmtId="3" fontId="5" fillId="0" borderId="63" xfId="171" applyNumberFormat="1" applyFont="1" applyBorder="1"/>
    <xf numFmtId="3" fontId="5" fillId="0" borderId="52" xfId="171" applyNumberFormat="1" applyFont="1" applyBorder="1"/>
    <xf numFmtId="0" fontId="5" fillId="0" borderId="11" xfId="171" applyFont="1" applyBorder="1"/>
    <xf numFmtId="3" fontId="36" fillId="0" borderId="11" xfId="171" applyNumberFormat="1" applyFont="1" applyBorder="1"/>
    <xf numFmtId="3" fontId="36" fillId="0" borderId="12" xfId="171" applyNumberFormat="1" applyFont="1" applyBorder="1"/>
    <xf numFmtId="3" fontId="36" fillId="0" borderId="60" xfId="171" applyNumberFormat="1" applyFont="1" applyBorder="1"/>
    <xf numFmtId="3" fontId="36" fillId="0" borderId="21" xfId="171" applyNumberFormat="1" applyFont="1" applyBorder="1"/>
    <xf numFmtId="0" fontId="34" fillId="0" borderId="13" xfId="171" applyFont="1" applyBorder="1"/>
    <xf numFmtId="3" fontId="37" fillId="0" borderId="10" xfId="171" applyNumberFormat="1" applyFont="1" applyBorder="1"/>
    <xf numFmtId="0" fontId="5" fillId="0" borderId="13" xfId="171" applyFont="1" applyBorder="1"/>
    <xf numFmtId="0" fontId="5" fillId="0" borderId="0" xfId="171" applyFont="1"/>
    <xf numFmtId="3" fontId="35" fillId="0" borderId="0" xfId="171" applyNumberFormat="1" applyFont="1"/>
    <xf numFmtId="3" fontId="0" fillId="0" borderId="0" xfId="0" applyNumberFormat="1"/>
    <xf numFmtId="3" fontId="4" fillId="0" borderId="37" xfId="0" applyNumberFormat="1" applyFont="1" applyBorder="1" applyAlignment="1">
      <alignment wrapText="1"/>
    </xf>
    <xf numFmtId="3" fontId="42" fillId="0" borderId="37" xfId="0" applyNumberFormat="1" applyFont="1" applyFill="1" applyBorder="1" applyAlignment="1">
      <alignment horizontal="center" vertical="center" wrapText="1"/>
    </xf>
    <xf numFmtId="3" fontId="42" fillId="0" borderId="37" xfId="0" applyNumberFormat="1" applyFont="1" applyBorder="1" applyAlignment="1">
      <alignment horizontal="center" vertical="center" wrapText="1"/>
    </xf>
    <xf numFmtId="3" fontId="42" fillId="0" borderId="64" xfId="0" applyNumberFormat="1" applyFont="1" applyBorder="1" applyAlignment="1">
      <alignment horizontal="center" vertical="center" wrapText="1"/>
    </xf>
    <xf numFmtId="3" fontId="42" fillId="0" borderId="65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3" fontId="5" fillId="0" borderId="37" xfId="0" applyNumberFormat="1" applyFont="1" applyBorder="1" applyAlignment="1">
      <alignment horizontal="center" vertical="center"/>
    </xf>
    <xf numFmtId="3" fontId="5" fillId="0" borderId="64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66" xfId="0" applyNumberFormat="1" applyFont="1" applyBorder="1"/>
    <xf numFmtId="3" fontId="5" fillId="0" borderId="32" xfId="0" applyNumberFormat="1" applyFont="1" applyBorder="1" applyAlignment="1">
      <alignment wrapText="1"/>
    </xf>
    <xf numFmtId="3" fontId="5" fillId="0" borderId="67" xfId="0" applyNumberFormat="1" applyFont="1" applyBorder="1"/>
    <xf numFmtId="3" fontId="5" fillId="0" borderId="0" xfId="0" applyNumberFormat="1" applyFont="1"/>
    <xf numFmtId="3" fontId="5" fillId="0" borderId="33" xfId="0" applyNumberFormat="1" applyFont="1" applyBorder="1" applyAlignment="1">
      <alignment wrapText="1"/>
    </xf>
    <xf numFmtId="3" fontId="5" fillId="0" borderId="63" xfId="0" applyNumberFormat="1" applyFont="1" applyBorder="1"/>
    <xf numFmtId="3" fontId="5" fillId="0" borderId="19" xfId="0" applyNumberFormat="1" applyFont="1" applyBorder="1"/>
    <xf numFmtId="3" fontId="0" fillId="0" borderId="67" xfId="0" applyNumberFormat="1" applyBorder="1"/>
    <xf numFmtId="3" fontId="0" fillId="0" borderId="23" xfId="0" applyNumberFormat="1" applyBorder="1"/>
    <xf numFmtId="3" fontId="0" fillId="0" borderId="68" xfId="0" applyNumberFormat="1" applyBorder="1"/>
    <xf numFmtId="3" fontId="5" fillId="0" borderId="60" xfId="0" applyNumberFormat="1" applyFont="1" applyBorder="1"/>
    <xf numFmtId="3" fontId="0" fillId="0" borderId="34" xfId="0" applyNumberFormat="1" applyBorder="1"/>
    <xf numFmtId="3" fontId="0" fillId="0" borderId="38" xfId="0" applyNumberFormat="1" applyBorder="1"/>
    <xf numFmtId="3" fontId="0" fillId="0" borderId="24" xfId="0" applyNumberFormat="1" applyBorder="1"/>
    <xf numFmtId="3" fontId="0" fillId="0" borderId="69" xfId="0" applyNumberFormat="1" applyBorder="1"/>
    <xf numFmtId="3" fontId="5" fillId="0" borderId="34" xfId="0" applyNumberFormat="1" applyFont="1" applyBorder="1"/>
    <xf numFmtId="3" fontId="5" fillId="0" borderId="38" xfId="0" applyNumberFormat="1" applyFont="1" applyBorder="1"/>
    <xf numFmtId="3" fontId="5" fillId="0" borderId="69" xfId="0" applyNumberFormat="1" applyFont="1" applyBorder="1"/>
    <xf numFmtId="3" fontId="5" fillId="0" borderId="20" xfId="0" applyNumberFormat="1" applyFont="1" applyBorder="1"/>
    <xf numFmtId="0" fontId="5" fillId="0" borderId="33" xfId="0" applyFont="1" applyBorder="1" applyAlignment="1">
      <alignment wrapText="1"/>
    </xf>
    <xf numFmtId="0" fontId="0" fillId="0" borderId="33" xfId="0" applyBorder="1" applyAlignment="1">
      <alignment wrapText="1"/>
    </xf>
    <xf numFmtId="0" fontId="0" fillId="0" borderId="33" xfId="0" applyFont="1" applyBorder="1" applyAlignment="1">
      <alignment wrapText="1"/>
    </xf>
    <xf numFmtId="3" fontId="0" fillId="0" borderId="24" xfId="0" applyNumberFormat="1" applyFill="1" applyBorder="1"/>
    <xf numFmtId="3" fontId="0" fillId="0" borderId="20" xfId="0" applyNumberFormat="1" applyBorder="1"/>
    <xf numFmtId="3" fontId="5" fillId="0" borderId="70" xfId="0" applyNumberFormat="1" applyFont="1" applyBorder="1"/>
    <xf numFmtId="3" fontId="5" fillId="0" borderId="71" xfId="0" applyNumberFormat="1" applyFont="1" applyBorder="1" applyAlignment="1">
      <alignment wrapText="1"/>
    </xf>
    <xf numFmtId="3" fontId="5" fillId="0" borderId="37" xfId="0" applyNumberFormat="1" applyFont="1" applyBorder="1"/>
    <xf numFmtId="3" fontId="0" fillId="0" borderId="66" xfId="0" applyNumberFormat="1" applyBorder="1"/>
    <xf numFmtId="3" fontId="5" fillId="0" borderId="73" xfId="0" applyNumberFormat="1" applyFont="1" applyBorder="1" applyAlignment="1">
      <alignment wrapText="1"/>
    </xf>
    <xf numFmtId="3" fontId="5" fillId="0" borderId="74" xfId="0" applyNumberFormat="1" applyFont="1" applyBorder="1"/>
    <xf numFmtId="3" fontId="5" fillId="0" borderId="75" xfId="0" applyNumberFormat="1" applyFont="1" applyBorder="1" applyAlignment="1">
      <alignment wrapText="1"/>
    </xf>
    <xf numFmtId="3" fontId="0" fillId="0" borderId="76" xfId="0" applyNumberFormat="1" applyBorder="1"/>
    <xf numFmtId="3" fontId="0" fillId="0" borderId="77" xfId="0" applyNumberFormat="1" applyBorder="1"/>
    <xf numFmtId="3" fontId="0" fillId="0" borderId="78" xfId="0" applyNumberFormat="1" applyBorder="1"/>
    <xf numFmtId="3" fontId="5" fillId="0" borderId="79" xfId="0" applyNumberFormat="1" applyFont="1" applyBorder="1"/>
    <xf numFmtId="3" fontId="5" fillId="0" borderId="76" xfId="0" applyNumberFormat="1" applyFont="1" applyBorder="1"/>
    <xf numFmtId="3" fontId="5" fillId="0" borderId="78" xfId="0" applyNumberFormat="1" applyFont="1" applyBorder="1"/>
    <xf numFmtId="3" fontId="5" fillId="0" borderId="80" xfId="0" applyNumberFormat="1" applyFont="1" applyBorder="1"/>
    <xf numFmtId="3" fontId="0" fillId="0" borderId="0" xfId="0" applyNumberFormat="1" applyAlignment="1">
      <alignment wrapText="1"/>
    </xf>
    <xf numFmtId="0" fontId="34" fillId="0" borderId="10" xfId="174" applyFont="1" applyFill="1" applyBorder="1" applyAlignment="1">
      <alignment horizontal="center"/>
    </xf>
    <xf numFmtId="3" fontId="34" fillId="0" borderId="10" xfId="174" applyNumberFormat="1" applyFont="1" applyFill="1" applyBorder="1" applyAlignment="1">
      <alignment horizontal="center" wrapText="1"/>
    </xf>
    <xf numFmtId="0" fontId="4" fillId="0" borderId="0" xfId="174" applyFill="1"/>
    <xf numFmtId="3" fontId="34" fillId="0" borderId="22" xfId="174" applyNumberFormat="1" applyFont="1" applyFill="1" applyBorder="1" applyAlignment="1">
      <alignment wrapText="1"/>
    </xf>
    <xf numFmtId="3" fontId="4" fillId="0" borderId="25" xfId="174" applyNumberFormat="1" applyFill="1" applyBorder="1"/>
    <xf numFmtId="0" fontId="34" fillId="0" borderId="0" xfId="174" applyFont="1" applyFill="1"/>
    <xf numFmtId="3" fontId="34" fillId="0" borderId="16" xfId="174" applyNumberFormat="1" applyFont="1" applyFill="1" applyBorder="1" applyAlignment="1">
      <alignment wrapText="1"/>
    </xf>
    <xf numFmtId="3" fontId="34" fillId="0" borderId="18" xfId="174" applyNumberFormat="1" applyFont="1" applyFill="1" applyBorder="1"/>
    <xf numFmtId="3" fontId="43" fillId="0" borderId="22" xfId="174" applyNumberFormat="1" applyFont="1" applyFill="1" applyBorder="1" applyAlignment="1">
      <alignment wrapText="1"/>
    </xf>
    <xf numFmtId="3" fontId="43" fillId="0" borderId="25" xfId="174" applyNumberFormat="1" applyFont="1" applyFill="1" applyBorder="1"/>
    <xf numFmtId="0" fontId="43" fillId="0" borderId="0" xfId="174" applyFont="1" applyFill="1"/>
    <xf numFmtId="3" fontId="35" fillId="0" borderId="25" xfId="174" applyNumberFormat="1" applyFont="1" applyFill="1" applyBorder="1"/>
    <xf numFmtId="3" fontId="43" fillId="0" borderId="81" xfId="174" applyNumberFormat="1" applyFont="1" applyFill="1" applyBorder="1" applyAlignment="1">
      <alignment wrapText="1"/>
    </xf>
    <xf numFmtId="3" fontId="43" fillId="0" borderId="82" xfId="174" applyNumberFormat="1" applyFont="1" applyFill="1" applyBorder="1"/>
    <xf numFmtId="0" fontId="4" fillId="0" borderId="81" xfId="174" applyFont="1" applyFill="1" applyBorder="1"/>
    <xf numFmtId="3" fontId="4" fillId="0" borderId="26" xfId="174" applyNumberFormat="1" applyFont="1" applyFill="1" applyBorder="1"/>
    <xf numFmtId="3" fontId="6" fillId="0" borderId="22" xfId="174" applyNumberFormat="1" applyFont="1" applyFill="1" applyBorder="1" applyAlignment="1">
      <alignment wrapText="1"/>
    </xf>
    <xf numFmtId="0" fontId="6" fillId="0" borderId="22" xfId="177" applyFont="1" applyFill="1" applyBorder="1" applyAlignment="1">
      <alignment wrapText="1"/>
    </xf>
    <xf numFmtId="3" fontId="6" fillId="0" borderId="25" xfId="174" applyNumberFormat="1" applyFont="1" applyFill="1" applyBorder="1"/>
    <xf numFmtId="3" fontId="36" fillId="0" borderId="10" xfId="174" applyNumberFormat="1" applyFont="1" applyFill="1" applyBorder="1" applyAlignment="1">
      <alignment wrapText="1"/>
    </xf>
    <xf numFmtId="3" fontId="36" fillId="0" borderId="10" xfId="174" applyNumberFormat="1" applyFont="1" applyFill="1" applyBorder="1"/>
    <xf numFmtId="0" fontId="36" fillId="0" borderId="0" xfId="174" applyFont="1" applyFill="1"/>
    <xf numFmtId="3" fontId="4" fillId="0" borderId="0" xfId="174" applyNumberFormat="1" applyFill="1" applyAlignment="1">
      <alignment wrapText="1"/>
    </xf>
    <xf numFmtId="3" fontId="4" fillId="0" borderId="0" xfId="174" applyNumberFormat="1" applyFill="1"/>
    <xf numFmtId="3" fontId="4" fillId="0" borderId="18" xfId="174" applyNumberFormat="1" applyFill="1" applyBorder="1"/>
    <xf numFmtId="0" fontId="4" fillId="0" borderId="0" xfId="174" applyFont="1" applyFill="1"/>
    <xf numFmtId="0" fontId="5" fillId="0" borderId="10" xfId="174" applyFont="1" applyFill="1" applyBorder="1" applyAlignment="1">
      <alignment horizontal="center" wrapText="1"/>
    </xf>
    <xf numFmtId="3" fontId="34" fillId="0" borderId="10" xfId="174" applyNumberFormat="1" applyFont="1" applyFill="1" applyBorder="1" applyAlignment="1">
      <alignment wrapText="1"/>
    </xf>
    <xf numFmtId="3" fontId="34" fillId="0" borderId="10" xfId="174" applyNumberFormat="1" applyFont="1" applyFill="1" applyBorder="1"/>
    <xf numFmtId="3" fontId="5" fillId="0" borderId="39" xfId="174" applyNumberFormat="1" applyFont="1" applyFill="1" applyBorder="1"/>
    <xf numFmtId="3" fontId="5" fillId="0" borderId="10" xfId="174" applyNumberFormat="1" applyFont="1" applyFill="1" applyBorder="1"/>
    <xf numFmtId="3" fontId="4" fillId="0" borderId="0" xfId="174" applyNumberFormat="1" applyFont="1" applyFill="1" applyAlignment="1">
      <alignment wrapText="1"/>
    </xf>
    <xf numFmtId="3" fontId="4" fillId="0" borderId="0" xfId="174" applyNumberFormat="1" applyFont="1" applyFill="1"/>
    <xf numFmtId="3" fontId="5" fillId="0" borderId="0" xfId="174" applyNumberFormat="1" applyFont="1" applyFill="1"/>
    <xf numFmtId="0" fontId="30" fillId="0" borderId="0" xfId="179" applyFont="1" applyFill="1" applyBorder="1" applyAlignment="1">
      <alignment wrapText="1"/>
    </xf>
    <xf numFmtId="3" fontId="31" fillId="0" borderId="0" xfId="179" applyNumberFormat="1" applyFont="1" applyFill="1" applyBorder="1"/>
    <xf numFmtId="3" fontId="31" fillId="0" borderId="0" xfId="179" applyNumberFormat="1" applyFont="1" applyFill="1"/>
    <xf numFmtId="0" fontId="31" fillId="0" borderId="0" xfId="179" applyFont="1" applyFill="1"/>
    <xf numFmtId="0" fontId="30" fillId="0" borderId="30" xfId="179" applyFont="1" applyFill="1" applyBorder="1" applyAlignment="1">
      <alignment horizontal="center"/>
    </xf>
    <xf numFmtId="3" fontId="30" fillId="0" borderId="31" xfId="179" applyNumberFormat="1" applyFont="1" applyFill="1" applyBorder="1" applyAlignment="1">
      <alignment horizontal="center"/>
    </xf>
    <xf numFmtId="3" fontId="30" fillId="0" borderId="32" xfId="179" applyNumberFormat="1" applyFont="1" applyFill="1" applyBorder="1" applyAlignment="1">
      <alignment horizontal="center"/>
    </xf>
    <xf numFmtId="0" fontId="30" fillId="0" borderId="0" xfId="179" applyFont="1" applyFill="1" applyAlignment="1">
      <alignment horizontal="center"/>
    </xf>
    <xf numFmtId="0" fontId="31" fillId="0" borderId="34" xfId="179" applyFont="1" applyFill="1" applyBorder="1" applyAlignment="1">
      <alignment wrapText="1"/>
    </xf>
    <xf numFmtId="3" fontId="31" fillId="0" borderId="24" xfId="179" applyNumberFormat="1" applyFont="1" applyFill="1" applyBorder="1"/>
    <xf numFmtId="3" fontId="31" fillId="0" borderId="33" xfId="179" applyNumberFormat="1" applyFont="1" applyFill="1" applyBorder="1"/>
    <xf numFmtId="0" fontId="30" fillId="0" borderId="35" xfId="179" applyFont="1" applyFill="1" applyBorder="1" applyAlignment="1">
      <alignment wrapText="1"/>
    </xf>
    <xf numFmtId="3" fontId="30" fillId="0" borderId="36" xfId="179" applyNumberFormat="1" applyFont="1" applyFill="1" applyBorder="1"/>
    <xf numFmtId="3" fontId="30" fillId="0" borderId="0" xfId="179" applyNumberFormat="1" applyFont="1" applyFill="1"/>
    <xf numFmtId="0" fontId="30" fillId="0" borderId="0" xfId="179" applyFont="1" applyFill="1"/>
    <xf numFmtId="3" fontId="30" fillId="0" borderId="0" xfId="179" applyNumberFormat="1" applyFont="1" applyFill="1" applyBorder="1"/>
    <xf numFmtId="0" fontId="30" fillId="0" borderId="0" xfId="179" applyFont="1" applyFill="1" applyBorder="1" applyAlignment="1">
      <alignment horizontal="left" wrapText="1"/>
    </xf>
    <xf numFmtId="0" fontId="31" fillId="0" borderId="30" xfId="179" applyFont="1" applyFill="1" applyBorder="1" applyAlignment="1">
      <alignment horizontal="left" wrapText="1"/>
    </xf>
    <xf numFmtId="3" fontId="31" fillId="0" borderId="31" xfId="179" applyNumberFormat="1" applyFont="1" applyFill="1" applyBorder="1"/>
    <xf numFmtId="3" fontId="31" fillId="0" borderId="32" xfId="179" applyNumberFormat="1" applyFont="1" applyFill="1" applyBorder="1"/>
    <xf numFmtId="3" fontId="5" fillId="0" borderId="39" xfId="176" applyNumberFormat="1" applyFont="1" applyBorder="1" applyAlignment="1">
      <alignment horizontal="center"/>
    </xf>
    <xf numFmtId="0" fontId="34" fillId="0" borderId="39" xfId="171" applyFont="1" applyBorder="1" applyAlignment="1">
      <alignment horizontal="centerContinuous"/>
    </xf>
    <xf numFmtId="0" fontId="34" fillId="0" borderId="48" xfId="171" applyFont="1" applyBorder="1" applyAlignment="1">
      <alignment horizontal="centerContinuous" wrapText="1"/>
    </xf>
    <xf numFmtId="0" fontId="34" fillId="0" borderId="39" xfId="176" applyFont="1" applyBorder="1" applyAlignment="1">
      <alignment horizontal="center" wrapText="1"/>
    </xf>
    <xf numFmtId="0" fontId="34" fillId="0" borderId="51" xfId="171" applyFont="1" applyBorder="1" applyAlignment="1">
      <alignment horizontal="centerContinuous" wrapText="1"/>
    </xf>
    <xf numFmtId="0" fontId="5" fillId="0" borderId="12" xfId="171" applyFont="1" applyBorder="1"/>
    <xf numFmtId="0" fontId="5" fillId="0" borderId="44" xfId="171" applyFont="1" applyBorder="1"/>
    <xf numFmtId="0" fontId="34" fillId="0" borderId="83" xfId="171" applyFont="1" applyBorder="1" applyAlignment="1">
      <alignment horizontal="center" wrapText="1"/>
    </xf>
    <xf numFmtId="0" fontId="34" fillId="0" borderId="10" xfId="171" applyFont="1" applyBorder="1"/>
    <xf numFmtId="0" fontId="34" fillId="0" borderId="0" xfId="176" applyFont="1" applyBorder="1" applyAlignment="1">
      <alignment wrapText="1"/>
    </xf>
    <xf numFmtId="3" fontId="35" fillId="0" borderId="40" xfId="176" applyNumberFormat="1" applyFont="1" applyFill="1" applyBorder="1"/>
    <xf numFmtId="0" fontId="0" fillId="0" borderId="11" xfId="176" applyFont="1" applyBorder="1" applyAlignment="1">
      <alignment wrapText="1"/>
    </xf>
    <xf numFmtId="3" fontId="7" fillId="0" borderId="11" xfId="176" applyNumberFormat="1" applyFont="1" applyFill="1" applyBorder="1"/>
    <xf numFmtId="0" fontId="0" fillId="0" borderId="11" xfId="176" applyFont="1" applyFill="1" applyBorder="1" applyAlignment="1">
      <alignment wrapText="1"/>
    </xf>
    <xf numFmtId="3" fontId="4" fillId="0" borderId="19" xfId="176" applyNumberFormat="1" applyFill="1" applyBorder="1"/>
    <xf numFmtId="0" fontId="34" fillId="0" borderId="11" xfId="176" applyFont="1" applyBorder="1" applyAlignment="1">
      <alignment horizontal="left" wrapText="1"/>
    </xf>
    <xf numFmtId="3" fontId="31" fillId="0" borderId="0" xfId="180" applyNumberFormat="1" applyFont="1" applyFill="1" applyBorder="1"/>
    <xf numFmtId="3" fontId="30" fillId="0" borderId="0" xfId="173" applyNumberFormat="1" applyFont="1" applyFill="1" applyBorder="1" applyAlignment="1">
      <alignment wrapText="1"/>
    </xf>
    <xf numFmtId="0" fontId="34" fillId="0" borderId="10" xfId="171" applyFont="1" applyBorder="1" applyAlignment="1">
      <alignment horizontal="centerContinuous" wrapText="1"/>
    </xf>
    <xf numFmtId="3" fontId="5" fillId="0" borderId="10" xfId="176" applyNumberFormat="1" applyFont="1" applyBorder="1" applyAlignment="1">
      <alignment horizontal="center"/>
    </xf>
    <xf numFmtId="0" fontId="34" fillId="0" borderId="84" xfId="171" applyFont="1" applyBorder="1" applyAlignment="1">
      <alignment horizontal="centerContinuous" wrapText="1"/>
    </xf>
    <xf numFmtId="3" fontId="4" fillId="0" borderId="85" xfId="176" applyNumberFormat="1" applyFont="1" applyFill="1" applyBorder="1"/>
    <xf numFmtId="3" fontId="34" fillId="0" borderId="86" xfId="176" applyNumberFormat="1" applyFont="1" applyFill="1" applyBorder="1"/>
    <xf numFmtId="0" fontId="35" fillId="0" borderId="47" xfId="176" applyFont="1" applyFill="1" applyBorder="1" applyAlignment="1">
      <alignment wrapText="1"/>
    </xf>
    <xf numFmtId="3" fontId="35" fillId="0" borderId="47" xfId="176" applyNumberFormat="1" applyFont="1" applyFill="1" applyBorder="1"/>
    <xf numFmtId="0" fontId="35" fillId="0" borderId="42" xfId="176" applyFont="1" applyBorder="1" applyAlignment="1">
      <alignment wrapText="1"/>
    </xf>
    <xf numFmtId="0" fontId="34" fillId="0" borderId="44" xfId="176" applyFont="1" applyBorder="1" applyAlignment="1">
      <alignment wrapText="1"/>
    </xf>
    <xf numFmtId="3" fontId="30" fillId="0" borderId="22" xfId="172" applyNumberFormat="1" applyFont="1" applyFill="1" applyBorder="1"/>
    <xf numFmtId="0" fontId="35" fillId="0" borderId="11" xfId="171" applyFont="1" applyFill="1" applyBorder="1"/>
    <xf numFmtId="3" fontId="35" fillId="0" borderId="12" xfId="171" applyNumberFormat="1" applyFont="1" applyFill="1" applyBorder="1"/>
    <xf numFmtId="0" fontId="5" fillId="0" borderId="11" xfId="171" applyNumberFormat="1" applyFont="1" applyFill="1" applyBorder="1"/>
    <xf numFmtId="0" fontId="35" fillId="0" borderId="0" xfId="171" applyFont="1" applyFill="1"/>
    <xf numFmtId="0" fontId="0" fillId="0" borderId="0" xfId="0" applyFill="1"/>
    <xf numFmtId="0" fontId="6" fillId="0" borderId="87" xfId="171" applyFont="1" applyFill="1" applyBorder="1"/>
    <xf numFmtId="3" fontId="6" fillId="0" borderId="56" xfId="171" applyNumberFormat="1" applyFont="1" applyFill="1" applyBorder="1"/>
    <xf numFmtId="0" fontId="6" fillId="0" borderId="0" xfId="171" applyFont="1" applyFill="1"/>
    <xf numFmtId="0" fontId="6" fillId="0" borderId="0" xfId="0" applyFont="1" applyFill="1"/>
    <xf numFmtId="0" fontId="35" fillId="0" borderId="11" xfId="171" applyNumberFormat="1" applyFont="1" applyFill="1" applyBorder="1"/>
    <xf numFmtId="0" fontId="6" fillId="0" borderId="15" xfId="171" applyNumberFormat="1" applyFont="1" applyFill="1" applyBorder="1"/>
    <xf numFmtId="0" fontId="6" fillId="0" borderId="0" xfId="171" applyFont="1"/>
    <xf numFmtId="0" fontId="6" fillId="0" borderId="15" xfId="171" applyFont="1" applyBorder="1"/>
    <xf numFmtId="3" fontId="6" fillId="0" borderId="15" xfId="171" applyNumberFormat="1" applyFont="1" applyBorder="1"/>
    <xf numFmtId="3" fontId="34" fillId="0" borderId="42" xfId="176" applyNumberFormat="1" applyFont="1" applyFill="1" applyBorder="1"/>
    <xf numFmtId="3" fontId="30" fillId="0" borderId="20" xfId="172" applyNumberFormat="1" applyFont="1" applyFill="1" applyBorder="1" applyAlignment="1">
      <alignment wrapText="1"/>
    </xf>
    <xf numFmtId="3" fontId="34" fillId="0" borderId="85" xfId="176" applyNumberFormat="1" applyFont="1" applyFill="1" applyBorder="1"/>
    <xf numFmtId="3" fontId="34" fillId="0" borderId="43" xfId="176" applyNumberFormat="1" applyFont="1" applyFill="1" applyBorder="1"/>
    <xf numFmtId="3" fontId="30" fillId="0" borderId="24" xfId="172" applyNumberFormat="1" applyFont="1" applyFill="1" applyBorder="1"/>
    <xf numFmtId="3" fontId="31" fillId="0" borderId="20" xfId="172" applyNumberFormat="1" applyFont="1" applyFill="1" applyBorder="1" applyAlignment="1">
      <alignment wrapText="1"/>
    </xf>
    <xf numFmtId="3" fontId="30" fillId="0" borderId="20" xfId="172" applyNumberFormat="1" applyFont="1" applyFill="1" applyBorder="1"/>
    <xf numFmtId="3" fontId="30" fillId="0" borderId="16" xfId="172" applyNumberFormat="1" applyFont="1" applyBorder="1"/>
    <xf numFmtId="3" fontId="30" fillId="0" borderId="17" xfId="172" applyNumberFormat="1" applyFont="1" applyBorder="1"/>
    <xf numFmtId="3" fontId="31" fillId="0" borderId="22" xfId="172" applyNumberFormat="1" applyFont="1" applyBorder="1"/>
    <xf numFmtId="3" fontId="31" fillId="0" borderId="24" xfId="172" applyNumberFormat="1" applyFont="1" applyBorder="1"/>
    <xf numFmtId="3" fontId="31" fillId="0" borderId="24" xfId="172" applyNumberFormat="1" applyFont="1" applyFill="1" applyBorder="1"/>
    <xf numFmtId="3" fontId="31" fillId="0" borderId="22" xfId="172" applyNumberFormat="1" applyFont="1" applyFill="1" applyBorder="1" applyAlignment="1">
      <alignment wrapText="1"/>
    </xf>
    <xf numFmtId="3" fontId="30" fillId="0" borderId="27" xfId="172" applyNumberFormat="1" applyFont="1" applyBorder="1"/>
    <xf numFmtId="3" fontId="30" fillId="0" borderId="28" xfId="172" applyNumberFormat="1" applyFont="1" applyBorder="1"/>
    <xf numFmtId="3" fontId="31" fillId="0" borderId="20" xfId="172" applyNumberFormat="1" applyFont="1" applyFill="1" applyBorder="1"/>
    <xf numFmtId="0" fontId="5" fillId="0" borderId="0" xfId="0" applyFont="1"/>
    <xf numFmtId="3" fontId="5" fillId="0" borderId="15" xfId="171" applyNumberFormat="1" applyFont="1" applyBorder="1"/>
    <xf numFmtId="0" fontId="5" fillId="0" borderId="11" xfId="171" applyFont="1" applyBorder="1" applyAlignment="1">
      <alignment horizontal="left"/>
    </xf>
    <xf numFmtId="0" fontId="5" fillId="0" borderId="11" xfId="171" applyFont="1" applyBorder="1" applyAlignment="1">
      <alignment horizontal="left" wrapText="1"/>
    </xf>
    <xf numFmtId="0" fontId="5" fillId="0" borderId="42" xfId="171" applyNumberFormat="1" applyFont="1" applyFill="1" applyBorder="1"/>
    <xf numFmtId="3" fontId="5" fillId="0" borderId="42" xfId="171" applyNumberFormat="1" applyFont="1" applyBorder="1"/>
    <xf numFmtId="0" fontId="5" fillId="0" borderId="15" xfId="171" applyFont="1" applyBorder="1"/>
    <xf numFmtId="0" fontId="35" fillId="0" borderId="40" xfId="171" applyFont="1" applyBorder="1"/>
    <xf numFmtId="0" fontId="5" fillId="0" borderId="40" xfId="171" applyFont="1" applyBorder="1" applyAlignment="1">
      <alignment horizontal="left"/>
    </xf>
    <xf numFmtId="0" fontId="5" fillId="0" borderId="47" xfId="171" applyFont="1" applyBorder="1" applyAlignment="1">
      <alignment horizontal="left" wrapText="1"/>
    </xf>
    <xf numFmtId="0" fontId="5" fillId="0" borderId="90" xfId="171" applyFont="1" applyBorder="1" applyAlignment="1">
      <alignment horizontal="left" wrapText="1"/>
    </xf>
    <xf numFmtId="3" fontId="34" fillId="0" borderId="10" xfId="171" applyNumberFormat="1" applyFont="1" applyBorder="1" applyAlignment="1">
      <alignment horizontal="center"/>
    </xf>
    <xf numFmtId="3" fontId="5" fillId="0" borderId="40" xfId="171" applyNumberFormat="1" applyFont="1" applyBorder="1"/>
    <xf numFmtId="3" fontId="5" fillId="0" borderId="11" xfId="171" applyNumberFormat="1" applyFont="1" applyFill="1" applyBorder="1"/>
    <xf numFmtId="0" fontId="34" fillId="0" borderId="91" xfId="171" applyFont="1" applyBorder="1" applyAlignment="1">
      <alignment wrapText="1"/>
    </xf>
    <xf numFmtId="0" fontId="5" fillId="0" borderId="91" xfId="171" applyFont="1" applyBorder="1" applyAlignment="1">
      <alignment horizontal="center"/>
    </xf>
    <xf numFmtId="3" fontId="37" fillId="0" borderId="42" xfId="176" applyNumberFormat="1" applyFont="1" applyFill="1" applyBorder="1"/>
    <xf numFmtId="0" fontId="5" fillId="0" borderId="92" xfId="175" applyFont="1" applyBorder="1" applyAlignment="1">
      <alignment horizontal="center"/>
    </xf>
    <xf numFmtId="3" fontId="5" fillId="0" borderId="93" xfId="175" applyNumberFormat="1" applyFont="1" applyBorder="1" applyAlignment="1">
      <alignment horizontal="center" wrapText="1"/>
    </xf>
    <xf numFmtId="0" fontId="5" fillId="0" borderId="88" xfId="175" applyFont="1" applyBorder="1" applyAlignment="1">
      <alignment horizontal="right"/>
    </xf>
    <xf numFmtId="0" fontId="5" fillId="0" borderId="89" xfId="175" applyFont="1" applyBorder="1" applyAlignment="1">
      <alignment horizontal="right"/>
    </xf>
    <xf numFmtId="3" fontId="5" fillId="0" borderId="33" xfId="175" applyNumberFormat="1" applyFont="1" applyFill="1" applyBorder="1" applyAlignment="1"/>
    <xf numFmtId="3" fontId="7" fillId="0" borderId="33" xfId="175" applyNumberFormat="1" applyFont="1" applyBorder="1" applyAlignment="1"/>
    <xf numFmtId="3" fontId="5" fillId="0" borderId="33" xfId="175" applyNumberFormat="1" applyFont="1" applyFill="1" applyBorder="1"/>
    <xf numFmtId="3" fontId="6" fillId="0" borderId="33" xfId="175" applyNumberFormat="1" applyFont="1" applyBorder="1" applyAlignment="1"/>
    <xf numFmtId="3" fontId="5" fillId="0" borderId="33" xfId="175" applyNumberFormat="1" applyFont="1" applyBorder="1" applyAlignment="1"/>
    <xf numFmtId="3" fontId="5" fillId="0" borderId="33" xfId="175" applyNumberFormat="1" applyFont="1" applyBorder="1" applyAlignment="1">
      <alignment wrapText="1"/>
    </xf>
    <xf numFmtId="3" fontId="5" fillId="0" borderId="33" xfId="175" applyNumberFormat="1" applyFont="1" applyFill="1" applyBorder="1" applyAlignment="1">
      <alignment wrapText="1"/>
    </xf>
    <xf numFmtId="0" fontId="6" fillId="0" borderId="60" xfId="157" applyFont="1" applyFill="1" applyBorder="1" applyAlignment="1">
      <alignment wrapText="1"/>
    </xf>
    <xf numFmtId="0" fontId="5" fillId="0" borderId="60" xfId="175" applyFont="1" applyBorder="1" applyAlignment="1">
      <alignment horizontal="right"/>
    </xf>
    <xf numFmtId="3" fontId="5" fillId="0" borderId="71" xfId="175" applyNumberFormat="1" applyFont="1" applyFill="1" applyBorder="1"/>
    <xf numFmtId="3" fontId="7" fillId="0" borderId="73" xfId="175" applyNumberFormat="1" applyFont="1" applyBorder="1" applyAlignment="1"/>
    <xf numFmtId="3" fontId="7" fillId="0" borderId="33" xfId="175" applyNumberFormat="1" applyFont="1" applyFill="1" applyBorder="1"/>
    <xf numFmtId="0" fontId="5" fillId="0" borderId="79" xfId="175" applyFont="1" applyBorder="1" applyAlignment="1">
      <alignment horizontal="right"/>
    </xf>
    <xf numFmtId="3" fontId="6" fillId="0" borderId="73" xfId="175" applyNumberFormat="1" applyFont="1" applyBorder="1" applyAlignment="1"/>
    <xf numFmtId="0" fontId="5" fillId="0" borderId="94" xfId="175" applyFont="1" applyBorder="1" applyAlignment="1">
      <alignment horizontal="right"/>
    </xf>
    <xf numFmtId="3" fontId="5" fillId="0" borderId="37" xfId="175" applyNumberFormat="1" applyFont="1" applyFill="1" applyBorder="1"/>
    <xf numFmtId="3" fontId="7" fillId="0" borderId="0" xfId="175" applyNumberFormat="1" applyFont="1"/>
    <xf numFmtId="0" fontId="7" fillId="0" borderId="0" xfId="175" applyFont="1"/>
    <xf numFmtId="16" fontId="26" fillId="0" borderId="0" xfId="157" applyNumberFormat="1" applyAlignment="1">
      <alignment horizontal="right"/>
    </xf>
    <xf numFmtId="0" fontId="26" fillId="0" borderId="0" xfId="157" applyAlignment="1">
      <alignment horizontal="right"/>
    </xf>
    <xf numFmtId="0" fontId="37" fillId="0" borderId="89" xfId="175" applyFont="1" applyBorder="1" applyAlignment="1">
      <alignment horizontal="right"/>
    </xf>
    <xf numFmtId="0" fontId="45" fillId="0" borderId="0" xfId="157" applyFont="1"/>
    <xf numFmtId="3" fontId="6" fillId="0" borderId="33" xfId="175" applyNumberFormat="1" applyFont="1" applyFill="1" applyBorder="1" applyAlignment="1"/>
    <xf numFmtId="0" fontId="26" fillId="0" borderId="0" xfId="157" applyFill="1" applyAlignment="1">
      <alignment horizontal="center"/>
    </xf>
    <xf numFmtId="3" fontId="5" fillId="0" borderId="71" xfId="175" applyNumberFormat="1" applyFont="1" applyFill="1" applyBorder="1" applyAlignment="1">
      <alignment horizontal="center"/>
    </xf>
    <xf numFmtId="3" fontId="5" fillId="0" borderId="37" xfId="175" applyNumberFormat="1" applyFont="1" applyFill="1" applyBorder="1" applyAlignment="1">
      <alignment horizontal="center"/>
    </xf>
    <xf numFmtId="3" fontId="37" fillId="0" borderId="87" xfId="171" applyNumberFormat="1" applyFont="1" applyFill="1" applyBorder="1"/>
    <xf numFmtId="3" fontId="5" fillId="0" borderId="10" xfId="171" applyNumberFormat="1" applyFont="1" applyBorder="1"/>
    <xf numFmtId="3" fontId="42" fillId="0" borderId="72" xfId="0" applyNumberFormat="1" applyFont="1" applyBorder="1" applyAlignment="1">
      <alignment horizontal="center" vertical="center" wrapText="1"/>
    </xf>
    <xf numFmtId="3" fontId="5" fillId="0" borderId="95" xfId="0" applyNumberFormat="1" applyFont="1" applyBorder="1"/>
    <xf numFmtId="3" fontId="0" fillId="0" borderId="63" xfId="0" applyNumberFormat="1" applyBorder="1"/>
    <xf numFmtId="3" fontId="0" fillId="0" borderId="60" xfId="0" applyNumberFormat="1" applyBorder="1"/>
    <xf numFmtId="3" fontId="0" fillId="0" borderId="20" xfId="0" applyNumberFormat="1" applyFill="1" applyBorder="1"/>
    <xf numFmtId="3" fontId="4" fillId="0" borderId="20" xfId="0" applyNumberFormat="1" applyFont="1" applyBorder="1"/>
    <xf numFmtId="3" fontId="5" fillId="0" borderId="65" xfId="0" applyNumberFormat="1" applyFont="1" applyBorder="1" applyAlignment="1">
      <alignment horizontal="center" vertical="center"/>
    </xf>
    <xf numFmtId="3" fontId="5" fillId="0" borderId="72" xfId="0" applyNumberFormat="1" applyFont="1" applyBorder="1" applyAlignment="1">
      <alignment horizontal="center" vertical="center"/>
    </xf>
    <xf numFmtId="0" fontId="34" fillId="0" borderId="13" xfId="171" applyFont="1" applyFill="1" applyBorder="1"/>
    <xf numFmtId="0" fontId="34" fillId="0" borderId="44" xfId="171" applyFont="1" applyFill="1" applyBorder="1"/>
    <xf numFmtId="3" fontId="37" fillId="0" borderId="10" xfId="171" applyNumberFormat="1" applyFont="1" applyFill="1" applyBorder="1"/>
    <xf numFmtId="0" fontId="31" fillId="0" borderId="11" xfId="152" applyFont="1" applyFill="1" applyBorder="1" applyAlignment="1">
      <alignment wrapText="1"/>
    </xf>
    <xf numFmtId="3" fontId="5" fillId="0" borderId="96" xfId="175" applyNumberFormat="1" applyFont="1" applyBorder="1" applyAlignment="1">
      <alignment horizontal="center" wrapText="1"/>
    </xf>
    <xf numFmtId="3" fontId="5" fillId="0" borderId="97" xfId="175" applyNumberFormat="1" applyFont="1" applyBorder="1" applyAlignment="1"/>
    <xf numFmtId="3" fontId="6" fillId="0" borderId="98" xfId="175" applyNumberFormat="1" applyFont="1" applyBorder="1" applyAlignment="1"/>
    <xf numFmtId="3" fontId="6" fillId="0" borderId="99" xfId="175" applyNumberFormat="1" applyFont="1" applyBorder="1" applyAlignment="1"/>
    <xf numFmtId="0" fontId="5" fillId="0" borderId="92" xfId="175" applyFont="1" applyFill="1" applyBorder="1" applyAlignment="1">
      <alignment horizontal="center" wrapText="1"/>
    </xf>
    <xf numFmtId="3" fontId="5" fillId="0" borderId="95" xfId="175" applyNumberFormat="1" applyFont="1" applyBorder="1" applyAlignment="1">
      <alignment wrapText="1"/>
    </xf>
    <xf numFmtId="3" fontId="5" fillId="0" borderId="60" xfId="175" applyNumberFormat="1" applyFont="1" applyBorder="1" applyAlignment="1">
      <alignment wrapText="1"/>
    </xf>
    <xf numFmtId="0" fontId="7" fillId="0" borderId="60" xfId="175" applyFont="1" applyBorder="1" applyAlignment="1">
      <alignment wrapText="1"/>
    </xf>
    <xf numFmtId="0" fontId="7" fillId="0" borderId="60" xfId="175" applyFont="1" applyFill="1" applyBorder="1" applyAlignment="1">
      <alignment wrapText="1"/>
    </xf>
    <xf numFmtId="0" fontId="5" fillId="0" borderId="60" xfId="175" applyFont="1" applyBorder="1" applyAlignment="1">
      <alignment wrapText="1"/>
    </xf>
    <xf numFmtId="0" fontId="6" fillId="0" borderId="60" xfId="175" applyFont="1" applyBorder="1" applyAlignment="1">
      <alignment wrapText="1"/>
    </xf>
    <xf numFmtId="0" fontId="6" fillId="0" borderId="60" xfId="175" applyFont="1" applyFill="1" applyBorder="1" applyAlignment="1">
      <alignment wrapText="1"/>
    </xf>
    <xf numFmtId="0" fontId="6" fillId="0" borderId="60" xfId="157" applyFont="1" applyBorder="1" applyAlignment="1">
      <alignment wrapText="1"/>
    </xf>
    <xf numFmtId="0" fontId="7" fillId="0" borderId="60" xfId="157" applyFont="1" applyBorder="1" applyAlignment="1">
      <alignment wrapText="1"/>
    </xf>
    <xf numFmtId="0" fontId="7" fillId="0" borderId="60" xfId="175" applyBorder="1" applyAlignment="1">
      <alignment wrapText="1"/>
    </xf>
    <xf numFmtId="0" fontId="0" fillId="0" borderId="60" xfId="175" applyFont="1" applyFill="1" applyBorder="1" applyAlignment="1">
      <alignment wrapText="1"/>
    </xf>
    <xf numFmtId="0" fontId="5" fillId="0" borderId="60" xfId="175" applyFont="1" applyFill="1" applyBorder="1" applyAlignment="1">
      <alignment wrapText="1"/>
    </xf>
    <xf numFmtId="0" fontId="5" fillId="0" borderId="37" xfId="175" applyFont="1" applyBorder="1" applyAlignment="1">
      <alignment wrapText="1"/>
    </xf>
    <xf numFmtId="0" fontId="7" fillId="0" borderId="63" xfId="175" applyBorder="1" applyAlignment="1">
      <alignment wrapText="1"/>
    </xf>
    <xf numFmtId="0" fontId="7" fillId="0" borderId="79" xfId="175" applyBorder="1" applyAlignment="1">
      <alignment wrapText="1"/>
    </xf>
    <xf numFmtId="3" fontId="36" fillId="0" borderId="0" xfId="174" applyNumberFormat="1" applyFont="1" applyFill="1" applyBorder="1" applyAlignment="1">
      <alignment wrapText="1"/>
    </xf>
    <xf numFmtId="3" fontId="36" fillId="0" borderId="0" xfId="174" applyNumberFormat="1" applyFont="1" applyFill="1" applyBorder="1"/>
    <xf numFmtId="3" fontId="34" fillId="0" borderId="0" xfId="174" applyNumberFormat="1" applyFont="1" applyFill="1" applyBorder="1" applyAlignment="1">
      <alignment wrapText="1"/>
    </xf>
    <xf numFmtId="3" fontId="34" fillId="0" borderId="0" xfId="174" applyNumberFormat="1" applyFont="1" applyFill="1" applyBorder="1"/>
    <xf numFmtId="3" fontId="35" fillId="0" borderId="52" xfId="174" applyNumberFormat="1" applyFont="1" applyFill="1" applyBorder="1"/>
    <xf numFmtId="3" fontId="6" fillId="0" borderId="27" xfId="174" applyNumberFormat="1" applyFont="1" applyFill="1" applyBorder="1" applyAlignment="1">
      <alignment wrapText="1"/>
    </xf>
    <xf numFmtId="3" fontId="43" fillId="0" borderId="29" xfId="174" applyNumberFormat="1" applyFont="1" applyFill="1" applyBorder="1"/>
    <xf numFmtId="3" fontId="5" fillId="0" borderId="0" xfId="174" applyNumberFormat="1" applyFont="1" applyFill="1" applyBorder="1"/>
    <xf numFmtId="3" fontId="5" fillId="24" borderId="10" xfId="174" applyNumberFormat="1" applyFont="1" applyFill="1" applyBorder="1"/>
    <xf numFmtId="3" fontId="36" fillId="24" borderId="10" xfId="174" applyNumberFormat="1" applyFont="1" applyFill="1" applyBorder="1"/>
    <xf numFmtId="0" fontId="32" fillId="0" borderId="0" xfId="179" applyFont="1" applyFill="1"/>
    <xf numFmtId="3" fontId="32" fillId="0" borderId="0" xfId="179" applyNumberFormat="1" applyFont="1" applyFill="1"/>
    <xf numFmtId="3" fontId="30" fillId="0" borderId="101" xfId="172" applyNumberFormat="1" applyFont="1" applyBorder="1"/>
    <xf numFmtId="3" fontId="31" fillId="0" borderId="69" xfId="172" applyNumberFormat="1" applyFont="1" applyBorder="1"/>
    <xf numFmtId="3" fontId="31" fillId="0" borderId="69" xfId="172" applyNumberFormat="1" applyFont="1" applyFill="1" applyBorder="1"/>
    <xf numFmtId="3" fontId="30" fillId="0" borderId="69" xfId="172" applyNumberFormat="1" applyFont="1" applyFill="1" applyBorder="1"/>
    <xf numFmtId="3" fontId="30" fillId="0" borderId="18" xfId="172" applyNumberFormat="1" applyFont="1" applyBorder="1"/>
    <xf numFmtId="3" fontId="31" fillId="0" borderId="25" xfId="172" applyNumberFormat="1" applyFont="1" applyBorder="1"/>
    <xf numFmtId="3" fontId="31" fillId="0" borderId="25" xfId="172" applyNumberFormat="1" applyFont="1" applyFill="1" applyBorder="1"/>
    <xf numFmtId="3" fontId="30" fillId="0" borderId="25" xfId="172" applyNumberFormat="1" applyFont="1" applyFill="1" applyBorder="1"/>
    <xf numFmtId="3" fontId="30" fillId="0" borderId="29" xfId="172" applyNumberFormat="1" applyFont="1" applyBorder="1"/>
    <xf numFmtId="3" fontId="30" fillId="0" borderId="90" xfId="172" applyNumberFormat="1" applyFont="1" applyBorder="1"/>
    <xf numFmtId="3" fontId="25" fillId="0" borderId="11" xfId="172" applyNumberFormat="1" applyFont="1" applyBorder="1" applyAlignment="1">
      <alignment wrapText="1"/>
    </xf>
    <xf numFmtId="3" fontId="31" fillId="0" borderId="20" xfId="172" applyNumberFormat="1" applyFont="1" applyBorder="1"/>
    <xf numFmtId="3" fontId="31" fillId="0" borderId="21" xfId="172" applyNumberFormat="1" applyFont="1" applyFill="1" applyBorder="1"/>
    <xf numFmtId="3" fontId="31" fillId="0" borderId="25" xfId="172" applyNumberFormat="1" applyFont="1" applyFill="1" applyBorder="1" applyAlignment="1">
      <alignment wrapText="1"/>
    </xf>
    <xf numFmtId="3" fontId="31" fillId="0" borderId="21" xfId="172" applyNumberFormat="1" applyFont="1" applyFill="1" applyBorder="1" applyAlignment="1">
      <alignment wrapText="1"/>
    </xf>
    <xf numFmtId="3" fontId="31" fillId="0" borderId="42" xfId="172" applyNumberFormat="1" applyFont="1" applyBorder="1" applyAlignment="1">
      <alignment wrapText="1"/>
    </xf>
    <xf numFmtId="3" fontId="31" fillId="0" borderId="81" xfId="172" applyNumberFormat="1" applyFont="1" applyFill="1" applyBorder="1"/>
    <xf numFmtId="3" fontId="31" fillId="0" borderId="77" xfId="172" applyNumberFormat="1" applyFont="1" applyFill="1" applyBorder="1"/>
    <xf numFmtId="3" fontId="31" fillId="0" borderId="43" xfId="172" applyNumberFormat="1" applyFont="1" applyFill="1" applyBorder="1"/>
    <xf numFmtId="3" fontId="31" fillId="0" borderId="85" xfId="172" applyNumberFormat="1" applyFont="1" applyFill="1" applyBorder="1"/>
    <xf numFmtId="3" fontId="31" fillId="0" borderId="82" xfId="172" applyNumberFormat="1" applyFont="1" applyFill="1" applyBorder="1"/>
    <xf numFmtId="3" fontId="25" fillId="0" borderId="42" xfId="172" applyNumberFormat="1" applyFont="1" applyBorder="1" applyAlignment="1">
      <alignment wrapText="1"/>
    </xf>
    <xf numFmtId="3" fontId="25" fillId="0" borderId="81" xfId="172" applyNumberFormat="1" applyFont="1" applyFill="1" applyBorder="1"/>
    <xf numFmtId="3" fontId="25" fillId="0" borderId="77" xfId="172" applyNumberFormat="1" applyFont="1" applyFill="1" applyBorder="1"/>
    <xf numFmtId="3" fontId="25" fillId="0" borderId="43" xfId="172" applyNumberFormat="1" applyFont="1" applyFill="1" applyBorder="1"/>
    <xf numFmtId="3" fontId="25" fillId="0" borderId="85" xfId="172" applyNumberFormat="1" applyFont="1" applyFill="1" applyBorder="1"/>
    <xf numFmtId="3" fontId="25" fillId="0" borderId="82" xfId="172" applyNumberFormat="1" applyFont="1" applyFill="1" applyBorder="1"/>
    <xf numFmtId="3" fontId="30" fillId="0" borderId="81" xfId="172" applyNumberFormat="1" applyFont="1" applyFill="1" applyBorder="1"/>
    <xf numFmtId="3" fontId="30" fillId="0" borderId="77" xfId="172" applyNumberFormat="1" applyFont="1" applyFill="1" applyBorder="1"/>
    <xf numFmtId="3" fontId="30" fillId="0" borderId="43" xfId="172" applyNumberFormat="1" applyFont="1" applyFill="1" applyBorder="1"/>
    <xf numFmtId="3" fontId="30" fillId="0" borderId="85" xfId="172" applyNumberFormat="1" applyFont="1" applyFill="1" applyBorder="1"/>
    <xf numFmtId="3" fontId="30" fillId="0" borderId="82" xfId="172" applyNumberFormat="1" applyFont="1" applyFill="1" applyBorder="1"/>
    <xf numFmtId="3" fontId="30" fillId="0" borderId="102" xfId="172" applyNumberFormat="1" applyFont="1" applyBorder="1"/>
    <xf numFmtId="3" fontId="30" fillId="0" borderId="103" xfId="172" applyNumberFormat="1" applyFont="1" applyBorder="1"/>
    <xf numFmtId="0" fontId="35" fillId="0" borderId="11" xfId="178" applyFont="1" applyFill="1" applyBorder="1" applyAlignment="1">
      <alignment wrapText="1"/>
    </xf>
    <xf numFmtId="0" fontId="0" fillId="0" borderId="87" xfId="171" applyFont="1" applyBorder="1" applyAlignment="1">
      <alignment wrapText="1"/>
    </xf>
    <xf numFmtId="0" fontId="0" fillId="0" borderId="87" xfId="171" applyFont="1" applyBorder="1"/>
    <xf numFmtId="3" fontId="7" fillId="0" borderId="40" xfId="171" applyNumberFormat="1" applyFont="1" applyBorder="1"/>
    <xf numFmtId="3" fontId="7" fillId="0" borderId="15" xfId="171" applyNumberFormat="1" applyFont="1" applyBorder="1"/>
    <xf numFmtId="3" fontId="7" fillId="0" borderId="11" xfId="171" applyNumberFormat="1" applyFont="1" applyBorder="1"/>
    <xf numFmtId="3" fontId="30" fillId="0" borderId="90" xfId="172" applyNumberFormat="1" applyFont="1" applyFill="1" applyBorder="1" applyAlignment="1">
      <alignment wrapText="1"/>
    </xf>
    <xf numFmtId="3" fontId="30" fillId="0" borderId="17" xfId="172" applyNumberFormat="1" applyFont="1" applyFill="1" applyBorder="1" applyAlignment="1">
      <alignment wrapText="1"/>
    </xf>
    <xf numFmtId="3" fontId="25" fillId="0" borderId="20" xfId="172" applyNumberFormat="1" applyFont="1" applyFill="1" applyBorder="1" applyAlignment="1">
      <alignment wrapText="1"/>
    </xf>
    <xf numFmtId="3" fontId="25" fillId="0" borderId="24" xfId="172" applyNumberFormat="1" applyFont="1" applyFill="1" applyBorder="1" applyAlignment="1">
      <alignment wrapText="1"/>
    </xf>
    <xf numFmtId="3" fontId="25" fillId="0" borderId="12" xfId="172" applyNumberFormat="1" applyFont="1" applyFill="1" applyBorder="1"/>
    <xf numFmtId="3" fontId="25" fillId="0" borderId="24" xfId="172" applyNumberFormat="1" applyFont="1" applyFill="1" applyBorder="1"/>
    <xf numFmtId="3" fontId="30" fillId="0" borderId="24" xfId="172" applyNumberFormat="1" applyFont="1" applyFill="1" applyBorder="1" applyAlignment="1">
      <alignment wrapText="1"/>
    </xf>
    <xf numFmtId="3" fontId="31" fillId="0" borderId="85" xfId="172" applyNumberFormat="1" applyFont="1" applyFill="1" applyBorder="1" applyAlignment="1">
      <alignment wrapText="1"/>
    </xf>
    <xf numFmtId="3" fontId="31" fillId="0" borderId="77" xfId="172" applyNumberFormat="1" applyFont="1" applyFill="1" applyBorder="1" applyAlignment="1">
      <alignment wrapText="1"/>
    </xf>
    <xf numFmtId="3" fontId="25" fillId="0" borderId="85" xfId="172" applyNumberFormat="1" applyFont="1" applyFill="1" applyBorder="1" applyAlignment="1">
      <alignment wrapText="1"/>
    </xf>
    <xf numFmtId="3" fontId="25" fillId="0" borderId="77" xfId="172" applyNumberFormat="1" applyFont="1" applyFill="1" applyBorder="1" applyAlignment="1">
      <alignment wrapText="1"/>
    </xf>
    <xf numFmtId="3" fontId="30" fillId="0" borderId="86" xfId="172" applyNumberFormat="1" applyFont="1" applyBorder="1"/>
    <xf numFmtId="3" fontId="30" fillId="0" borderId="18" xfId="172" applyNumberFormat="1" applyFont="1" applyFill="1" applyBorder="1" applyAlignment="1">
      <alignment wrapText="1"/>
    </xf>
    <xf numFmtId="3" fontId="25" fillId="0" borderId="25" xfId="172" applyNumberFormat="1" applyFont="1" applyFill="1" applyBorder="1" applyAlignment="1">
      <alignment wrapText="1"/>
    </xf>
    <xf numFmtId="3" fontId="25" fillId="0" borderId="25" xfId="172" applyNumberFormat="1" applyFont="1" applyFill="1" applyBorder="1"/>
    <xf numFmtId="3" fontId="30" fillId="0" borderId="25" xfId="172" applyNumberFormat="1" applyFont="1" applyFill="1" applyBorder="1" applyAlignment="1">
      <alignment wrapText="1"/>
    </xf>
    <xf numFmtId="3" fontId="31" fillId="0" borderId="82" xfId="172" applyNumberFormat="1" applyFont="1" applyFill="1" applyBorder="1" applyAlignment="1">
      <alignment wrapText="1"/>
    </xf>
    <xf numFmtId="3" fontId="25" fillId="0" borderId="82" xfId="172" applyNumberFormat="1" applyFont="1" applyFill="1" applyBorder="1" applyAlignment="1">
      <alignment wrapText="1"/>
    </xf>
    <xf numFmtId="0" fontId="0" fillId="0" borderId="11" xfId="171" applyFont="1" applyBorder="1" applyAlignment="1">
      <alignment wrapText="1"/>
    </xf>
    <xf numFmtId="0" fontId="0" fillId="0" borderId="11" xfId="171" applyFont="1" applyBorder="1"/>
    <xf numFmtId="0" fontId="7" fillId="0" borderId="0" xfId="171" applyFont="1"/>
    <xf numFmtId="0" fontId="0" fillId="0" borderId="0" xfId="0" applyFont="1"/>
    <xf numFmtId="0" fontId="5" fillId="0" borderId="0" xfId="171" applyFont="1" applyFill="1"/>
    <xf numFmtId="3" fontId="5" fillId="0" borderId="47" xfId="178" applyNumberFormat="1" applyFont="1" applyBorder="1" applyAlignment="1">
      <alignment horizontal="right" wrapText="1"/>
    </xf>
    <xf numFmtId="0" fontId="35" fillId="0" borderId="42" xfId="171" applyFont="1" applyBorder="1" applyAlignment="1">
      <alignment wrapText="1"/>
    </xf>
    <xf numFmtId="3" fontId="5" fillId="0" borderId="42" xfId="171" applyNumberFormat="1" applyFont="1" applyFill="1" applyBorder="1"/>
    <xf numFmtId="0" fontId="0" fillId="0" borderId="15" xfId="171" applyFont="1" applyBorder="1" applyAlignment="1">
      <alignment wrapText="1"/>
    </xf>
    <xf numFmtId="0" fontId="0" fillId="0" borderId="0" xfId="0" applyBorder="1"/>
    <xf numFmtId="3" fontId="6" fillId="0" borderId="56" xfId="174" applyNumberFormat="1" applyFont="1" applyFill="1" applyBorder="1" applyAlignment="1">
      <alignment wrapText="1"/>
    </xf>
    <xf numFmtId="3" fontId="6" fillId="0" borderId="12" xfId="174" applyNumberFormat="1" applyFont="1" applyFill="1" applyBorder="1" applyAlignment="1">
      <alignment wrapText="1"/>
    </xf>
    <xf numFmtId="3" fontId="35" fillId="0" borderId="29" xfId="174" applyNumberFormat="1" applyFont="1" applyFill="1" applyBorder="1"/>
    <xf numFmtId="4" fontId="37" fillId="0" borderId="10" xfId="171" applyNumberFormat="1" applyFont="1" applyFill="1" applyBorder="1"/>
    <xf numFmtId="3" fontId="43" fillId="0" borderId="56" xfId="174" applyNumberFormat="1" applyFont="1" applyFill="1" applyBorder="1" applyAlignment="1">
      <alignment wrapText="1"/>
    </xf>
    <xf numFmtId="3" fontId="43" fillId="0" borderId="52" xfId="174" applyNumberFormat="1" applyFont="1" applyFill="1" applyBorder="1"/>
    <xf numFmtId="0" fontId="37" fillId="0" borderId="104" xfId="174" applyFont="1" applyFill="1" applyBorder="1" applyAlignment="1">
      <alignment wrapText="1"/>
    </xf>
    <xf numFmtId="3" fontId="5" fillId="0" borderId="97" xfId="175" applyNumberFormat="1" applyFont="1" applyBorder="1" applyAlignment="1">
      <alignment horizontal="center"/>
    </xf>
    <xf numFmtId="3" fontId="5" fillId="0" borderId="33" xfId="175" applyNumberFormat="1" applyFont="1" applyFill="1" applyBorder="1" applyAlignment="1">
      <alignment horizontal="center"/>
    </xf>
    <xf numFmtId="3" fontId="0" fillId="0" borderId="33" xfId="175" applyNumberFormat="1" applyFont="1" applyBorder="1" applyAlignment="1">
      <alignment horizontal="center"/>
    </xf>
    <xf numFmtId="3" fontId="7" fillId="0" borderId="33" xfId="175" applyNumberFormat="1" applyFont="1" applyFill="1" applyBorder="1" applyAlignment="1"/>
    <xf numFmtId="3" fontId="0" fillId="0" borderId="33" xfId="175" applyNumberFormat="1" applyFont="1" applyFill="1" applyBorder="1" applyAlignment="1">
      <alignment horizontal="center"/>
    </xf>
    <xf numFmtId="3" fontId="6" fillId="0" borderId="33" xfId="175" applyNumberFormat="1" applyFont="1" applyFill="1" applyBorder="1" applyAlignment="1">
      <alignment horizontal="center"/>
    </xf>
    <xf numFmtId="3" fontId="7" fillId="0" borderId="33" xfId="175" applyNumberFormat="1" applyFont="1" applyFill="1" applyBorder="1" applyAlignment="1">
      <alignment horizontal="center"/>
    </xf>
    <xf numFmtId="3" fontId="6" fillId="0" borderId="98" xfId="175" applyNumberFormat="1" applyFont="1" applyFill="1" applyBorder="1" applyAlignment="1"/>
    <xf numFmtId="3" fontId="5" fillId="0" borderId="33" xfId="175" applyNumberFormat="1" applyFont="1" applyBorder="1" applyAlignment="1">
      <alignment horizontal="center" wrapText="1"/>
    </xf>
    <xf numFmtId="3" fontId="7" fillId="0" borderId="33" xfId="175" applyNumberFormat="1" applyFont="1" applyBorder="1" applyAlignment="1">
      <alignment horizontal="center"/>
    </xf>
    <xf numFmtId="3" fontId="5" fillId="0" borderId="33" xfId="175" applyNumberFormat="1" applyFont="1" applyBorder="1" applyAlignment="1">
      <alignment horizontal="center"/>
    </xf>
    <xf numFmtId="3" fontId="6" fillId="0" borderId="33" xfId="175" applyNumberFormat="1" applyFont="1" applyBorder="1" applyAlignment="1">
      <alignment horizontal="center"/>
    </xf>
    <xf numFmtId="0" fontId="0" fillId="0" borderId="60" xfId="157" applyFont="1" applyBorder="1" applyAlignment="1">
      <alignment wrapText="1"/>
    </xf>
    <xf numFmtId="3" fontId="5" fillId="0" borderId="33" xfId="175" applyNumberFormat="1" applyFont="1" applyFill="1" applyBorder="1" applyAlignment="1">
      <alignment horizontal="center" wrapText="1"/>
    </xf>
    <xf numFmtId="0" fontId="6" fillId="0" borderId="60" xfId="157" applyFont="1" applyBorder="1" applyAlignment="1">
      <alignment horizontal="left" wrapText="1"/>
    </xf>
    <xf numFmtId="0" fontId="6" fillId="0" borderId="60" xfId="157" applyFont="1" applyFill="1" applyBorder="1" applyAlignment="1">
      <alignment horizontal="left" wrapText="1"/>
    </xf>
    <xf numFmtId="3" fontId="7" fillId="0" borderId="98" xfId="175" applyNumberFormat="1" applyFont="1" applyFill="1" applyBorder="1" applyAlignment="1"/>
    <xf numFmtId="3" fontId="7" fillId="0" borderId="73" xfId="175" applyNumberFormat="1" applyFont="1" applyBorder="1" applyAlignment="1">
      <alignment horizontal="center"/>
    </xf>
    <xf numFmtId="3" fontId="0" fillId="0" borderId="73" xfId="175" applyNumberFormat="1" applyFont="1" applyBorder="1" applyAlignment="1">
      <alignment horizontal="center"/>
    </xf>
    <xf numFmtId="3" fontId="6" fillId="0" borderId="99" xfId="175" applyNumberFormat="1" applyFont="1" applyFill="1" applyBorder="1" applyAlignment="1"/>
    <xf numFmtId="3" fontId="6" fillId="0" borderId="73" xfId="175" applyNumberFormat="1" applyFont="1" applyFill="1" applyBorder="1" applyAlignment="1"/>
    <xf numFmtId="3" fontId="6" fillId="0" borderId="73" xfId="175" applyNumberFormat="1" applyFont="1" applyFill="1" applyBorder="1" applyAlignment="1">
      <alignment horizontal="center"/>
    </xf>
    <xf numFmtId="3" fontId="6" fillId="0" borderId="73" xfId="175" applyNumberFormat="1" applyFont="1" applyBorder="1" applyAlignment="1">
      <alignment horizontal="center"/>
    </xf>
    <xf numFmtId="0" fontId="31" fillId="0" borderId="74" xfId="179" applyFont="1" applyFill="1" applyBorder="1" applyAlignment="1">
      <alignment wrapText="1"/>
    </xf>
    <xf numFmtId="3" fontId="31" fillId="0" borderId="77" xfId="179" applyNumberFormat="1" applyFont="1" applyFill="1" applyBorder="1"/>
    <xf numFmtId="0" fontId="30" fillId="0" borderId="24" xfId="179" applyFont="1" applyFill="1" applyBorder="1" applyAlignment="1">
      <alignment wrapText="1"/>
    </xf>
    <xf numFmtId="3" fontId="30" fillId="0" borderId="24" xfId="179" applyNumberFormat="1" applyFont="1" applyFill="1" applyBorder="1"/>
    <xf numFmtId="3" fontId="30" fillId="0" borderId="24" xfId="179" applyNumberFormat="1" applyFont="1" applyFill="1" applyBorder="1" applyAlignment="1"/>
    <xf numFmtId="0" fontId="30" fillId="0" borderId="10" xfId="152" applyFont="1" applyFill="1" applyBorder="1" applyAlignment="1">
      <alignment horizontal="center" vertical="center" wrapText="1"/>
    </xf>
    <xf numFmtId="3" fontId="30" fillId="0" borderId="10" xfId="152" applyNumberFormat="1" applyFont="1" applyFill="1" applyBorder="1" applyAlignment="1">
      <alignment horizontal="center" vertical="center" wrapText="1"/>
    </xf>
    <xf numFmtId="0" fontId="30" fillId="0" borderId="11" xfId="175" applyFont="1" applyFill="1" applyBorder="1" applyAlignment="1">
      <alignment wrapText="1"/>
    </xf>
    <xf numFmtId="3" fontId="30" fillId="0" borderId="11" xfId="175" applyNumberFormat="1" applyFont="1" applyFill="1" applyBorder="1" applyAlignment="1">
      <alignment wrapText="1"/>
    </xf>
    <xf numFmtId="3" fontId="31" fillId="0" borderId="11" xfId="157" applyNumberFormat="1" applyFont="1" applyFill="1" applyBorder="1"/>
    <xf numFmtId="3" fontId="31" fillId="0" borderId="11" xfId="152" applyNumberFormat="1" applyFont="1" applyFill="1" applyBorder="1" applyAlignment="1">
      <alignment wrapText="1"/>
    </xf>
    <xf numFmtId="3" fontId="31" fillId="0" borderId="11" xfId="152" applyNumberFormat="1" applyFont="1" applyFill="1" applyBorder="1"/>
    <xf numFmtId="0" fontId="31" fillId="0" borderId="40" xfId="152" applyFont="1" applyFill="1" applyBorder="1" applyAlignment="1">
      <alignment wrapText="1"/>
    </xf>
    <xf numFmtId="3" fontId="31" fillId="0" borderId="40" xfId="152" applyNumberFormat="1" applyFont="1" applyFill="1" applyBorder="1" applyAlignment="1">
      <alignment wrapText="1"/>
    </xf>
    <xf numFmtId="0" fontId="30" fillId="0" borderId="40" xfId="152" applyFont="1" applyFill="1" applyBorder="1" applyAlignment="1">
      <alignment wrapText="1"/>
    </xf>
    <xf numFmtId="3" fontId="30" fillId="0" borderId="11" xfId="152" applyNumberFormat="1" applyFont="1" applyFill="1" applyBorder="1"/>
    <xf numFmtId="0" fontId="30" fillId="0" borderId="11" xfId="152" applyFont="1" applyFill="1" applyBorder="1" applyAlignment="1"/>
    <xf numFmtId="3" fontId="32" fillId="0" borderId="11" xfId="152" applyNumberFormat="1" applyFont="1" applyFill="1" applyBorder="1" applyAlignment="1"/>
    <xf numFmtId="0" fontId="31" fillId="0" borderId="11" xfId="152" applyFont="1" applyFill="1" applyBorder="1" applyAlignment="1"/>
    <xf numFmtId="3" fontId="31" fillId="0" borderId="11" xfId="152" applyNumberFormat="1" applyFont="1" applyFill="1" applyBorder="1" applyAlignment="1"/>
    <xf numFmtId="0" fontId="30" fillId="0" borderId="11" xfId="152" applyFont="1" applyFill="1" applyBorder="1" applyAlignment="1">
      <alignment wrapText="1"/>
    </xf>
    <xf numFmtId="3" fontId="30" fillId="0" borderId="11" xfId="152" applyNumberFormat="1" applyFont="1" applyFill="1" applyBorder="1" applyAlignment="1">
      <alignment wrapText="1"/>
    </xf>
    <xf numFmtId="3" fontId="31" fillId="0" borderId="11" xfId="152" applyNumberFormat="1" applyFont="1" applyFill="1" applyBorder="1" applyAlignment="1">
      <alignment horizontal="right"/>
    </xf>
    <xf numFmtId="0" fontId="32" fillId="0" borderId="11" xfId="152" applyFont="1" applyFill="1" applyBorder="1" applyAlignment="1"/>
    <xf numFmtId="3" fontId="32" fillId="0" borderId="11" xfId="152" applyNumberFormat="1" applyFont="1" applyFill="1" applyBorder="1"/>
    <xf numFmtId="3" fontId="30" fillId="0" borderId="11" xfId="152" applyNumberFormat="1" applyFont="1" applyFill="1" applyBorder="1" applyAlignment="1"/>
    <xf numFmtId="3" fontId="25" fillId="0" borderId="11" xfId="152" applyNumberFormat="1" applyFont="1" applyFill="1" applyBorder="1"/>
    <xf numFmtId="3" fontId="31" fillId="0" borderId="42" xfId="152" applyNumberFormat="1" applyFont="1" applyFill="1" applyBorder="1" applyAlignment="1">
      <alignment wrapText="1"/>
    </xf>
    <xf numFmtId="3" fontId="31" fillId="0" borderId="42" xfId="152" applyNumberFormat="1" applyFont="1" applyFill="1" applyBorder="1"/>
    <xf numFmtId="3" fontId="30" fillId="0" borderId="42" xfId="152" applyNumberFormat="1" applyFont="1" applyFill="1" applyBorder="1"/>
    <xf numFmtId="3" fontId="30" fillId="0" borderId="42" xfId="152" applyNumberFormat="1" applyFont="1" applyFill="1" applyBorder="1" applyAlignment="1">
      <alignment wrapText="1"/>
    </xf>
    <xf numFmtId="0" fontId="31" fillId="0" borderId="40" xfId="152" applyFont="1" applyFill="1" applyBorder="1"/>
    <xf numFmtId="3" fontId="31" fillId="0" borderId="40" xfId="152" applyNumberFormat="1" applyFont="1" applyFill="1" applyBorder="1"/>
    <xf numFmtId="3" fontId="30" fillId="0" borderId="40" xfId="152" applyNumberFormat="1" applyFont="1" applyFill="1" applyBorder="1" applyAlignment="1">
      <alignment wrapText="1"/>
    </xf>
    <xf numFmtId="0" fontId="31" fillId="0" borderId="11" xfId="152" applyFont="1" applyFill="1" applyBorder="1" applyAlignment="1">
      <alignment horizontal="left" wrapText="1"/>
    </xf>
    <xf numFmtId="0" fontId="31" fillId="0" borderId="42" xfId="152" applyFont="1" applyFill="1" applyBorder="1" applyAlignment="1">
      <alignment wrapText="1"/>
    </xf>
    <xf numFmtId="3" fontId="30" fillId="0" borderId="15" xfId="152" applyNumberFormat="1" applyFont="1" applyFill="1" applyBorder="1"/>
    <xf numFmtId="0" fontId="6" fillId="0" borderId="89" xfId="175" applyFont="1" applyBorder="1" applyAlignment="1">
      <alignment horizontal="right"/>
    </xf>
    <xf numFmtId="0" fontId="5" fillId="0" borderId="11" xfId="171" applyFont="1" applyBorder="1" applyAlignment="1">
      <alignment wrapText="1"/>
    </xf>
    <xf numFmtId="3" fontId="5" fillId="0" borderId="39" xfId="176" applyNumberFormat="1" applyFont="1" applyBorder="1" applyAlignment="1">
      <alignment horizontal="center" wrapText="1"/>
    </xf>
    <xf numFmtId="3" fontId="5" fillId="0" borderId="39" xfId="176" applyNumberFormat="1" applyFont="1" applyBorder="1" applyAlignment="1">
      <alignment horizontal="center"/>
    </xf>
    <xf numFmtId="3" fontId="34" fillId="0" borderId="39" xfId="171" applyNumberFormat="1" applyFont="1" applyBorder="1" applyAlignment="1">
      <alignment horizontal="center" wrapText="1"/>
    </xf>
    <xf numFmtId="3" fontId="34" fillId="0" borderId="14" xfId="171" applyNumberFormat="1" applyFont="1" applyBorder="1" applyAlignment="1">
      <alignment horizontal="center" wrapText="1"/>
    </xf>
    <xf numFmtId="3" fontId="37" fillId="0" borderId="66" xfId="0" applyNumberFormat="1" applyFont="1" applyBorder="1"/>
    <xf numFmtId="3" fontId="37" fillId="0" borderId="33" xfId="0" applyNumberFormat="1" applyFont="1" applyBorder="1" applyAlignment="1">
      <alignment wrapText="1"/>
    </xf>
    <xf numFmtId="3" fontId="37" fillId="0" borderId="67" xfId="0" applyNumberFormat="1" applyFont="1" applyBorder="1"/>
    <xf numFmtId="3" fontId="37" fillId="0" borderId="24" xfId="0" applyNumberFormat="1" applyFont="1" applyBorder="1"/>
    <xf numFmtId="3" fontId="37" fillId="0" borderId="19" xfId="0" applyNumberFormat="1" applyFont="1" applyBorder="1"/>
    <xf numFmtId="3" fontId="37" fillId="0" borderId="63" xfId="0" applyNumberFormat="1" applyFont="1" applyBorder="1"/>
    <xf numFmtId="3" fontId="37" fillId="0" borderId="0" xfId="0" applyNumberFormat="1" applyFont="1"/>
    <xf numFmtId="3" fontId="0" fillId="0" borderId="19" xfId="0" applyNumberFormat="1" applyBorder="1"/>
    <xf numFmtId="3" fontId="0" fillId="0" borderId="67" xfId="0" applyNumberFormat="1" applyFont="1" applyBorder="1"/>
    <xf numFmtId="3" fontId="0" fillId="0" borderId="38" xfId="0" applyNumberFormat="1" applyFont="1" applyBorder="1"/>
    <xf numFmtId="3" fontId="0" fillId="0" borderId="60" xfId="0" applyNumberFormat="1" applyFont="1" applyBorder="1"/>
    <xf numFmtId="3" fontId="0" fillId="0" borderId="0" xfId="0" applyNumberFormat="1" applyFont="1"/>
    <xf numFmtId="0" fontId="6" fillId="0" borderId="33" xfId="0" applyFont="1" applyFill="1" applyBorder="1" applyAlignment="1">
      <alignment wrapText="1"/>
    </xf>
    <xf numFmtId="3" fontId="0" fillId="0" borderId="69" xfId="0" applyNumberFormat="1" applyFont="1" applyBorder="1"/>
    <xf numFmtId="0" fontId="0" fillId="0" borderId="33" xfId="198" applyFont="1" applyBorder="1" applyAlignment="1">
      <alignment wrapText="1"/>
    </xf>
    <xf numFmtId="0" fontId="6" fillId="0" borderId="33" xfId="0" applyFont="1" applyBorder="1" applyAlignment="1">
      <alignment wrapText="1"/>
    </xf>
    <xf numFmtId="3" fontId="0" fillId="0" borderId="66" xfId="0" applyNumberFormat="1" applyFont="1" applyBorder="1"/>
    <xf numFmtId="0" fontId="0" fillId="0" borderId="73" xfId="0" applyFont="1" applyBorder="1" applyAlignment="1">
      <alignment wrapText="1"/>
    </xf>
    <xf numFmtId="3" fontId="0" fillId="0" borderId="23" xfId="0" applyNumberFormat="1" applyFont="1" applyBorder="1"/>
    <xf numFmtId="3" fontId="0" fillId="0" borderId="68" xfId="0" applyNumberFormat="1" applyFont="1" applyBorder="1"/>
    <xf numFmtId="3" fontId="0" fillId="0" borderId="63" xfId="0" applyNumberFormat="1" applyFont="1" applyBorder="1"/>
    <xf numFmtId="0" fontId="6" fillId="0" borderId="33" xfId="198" applyFont="1" applyBorder="1" applyAlignment="1">
      <alignment wrapText="1"/>
    </xf>
    <xf numFmtId="3" fontId="0" fillId="0" borderId="73" xfId="0" applyNumberFormat="1" applyFont="1" applyFill="1" applyBorder="1" applyAlignment="1">
      <alignment wrapText="1"/>
    </xf>
    <xf numFmtId="3" fontId="0" fillId="0" borderId="73" xfId="0" applyNumberFormat="1" applyFont="1" applyBorder="1" applyAlignment="1">
      <alignment wrapText="1"/>
    </xf>
    <xf numFmtId="3" fontId="5" fillId="0" borderId="106" xfId="0" applyNumberFormat="1" applyFont="1" applyBorder="1"/>
    <xf numFmtId="3" fontId="5" fillId="0" borderId="80" xfId="0" applyNumberFormat="1" applyFont="1" applyBorder="1" applyAlignment="1">
      <alignment wrapText="1"/>
    </xf>
    <xf numFmtId="3" fontId="5" fillId="0" borderId="0" xfId="0" applyNumberFormat="1" applyFont="1" applyAlignment="1">
      <alignment horizontal="center"/>
    </xf>
    <xf numFmtId="3" fontId="5" fillId="0" borderId="39" xfId="176" applyNumberFormat="1" applyFont="1" applyBorder="1" applyAlignment="1">
      <alignment horizontal="center" wrapText="1"/>
    </xf>
    <xf numFmtId="3" fontId="34" fillId="0" borderId="10" xfId="171" applyNumberFormat="1" applyFont="1" applyBorder="1" applyAlignment="1">
      <alignment horizontal="center" wrapText="1"/>
    </xf>
    <xf numFmtId="3" fontId="25" fillId="0" borderId="20" xfId="172" applyNumberFormat="1" applyFont="1" applyFill="1" applyBorder="1"/>
    <xf numFmtId="3" fontId="7" fillId="0" borderId="21" xfId="176" applyNumberFormat="1" applyFont="1" applyFill="1" applyBorder="1"/>
    <xf numFmtId="3" fontId="30" fillId="0" borderId="69" xfId="172" applyNumberFormat="1" applyFont="1" applyFill="1" applyBorder="1" applyAlignment="1">
      <alignment wrapText="1"/>
    </xf>
    <xf numFmtId="3" fontId="31" fillId="0" borderId="69" xfId="172" applyNumberFormat="1" applyFont="1" applyFill="1" applyBorder="1" applyAlignment="1">
      <alignment wrapText="1"/>
    </xf>
    <xf numFmtId="3" fontId="31" fillId="0" borderId="78" xfId="172" applyNumberFormat="1" applyFont="1" applyFill="1" applyBorder="1" applyAlignment="1">
      <alignment wrapText="1"/>
    </xf>
    <xf numFmtId="3" fontId="25" fillId="0" borderId="78" xfId="172" applyNumberFormat="1" applyFont="1" applyFill="1" applyBorder="1" applyAlignment="1">
      <alignment wrapText="1"/>
    </xf>
    <xf numFmtId="3" fontId="30" fillId="0" borderId="107" xfId="172" applyNumberFormat="1" applyFont="1" applyBorder="1"/>
    <xf numFmtId="3" fontId="25" fillId="0" borderId="38" xfId="172" applyNumberFormat="1" applyFont="1" applyFill="1" applyBorder="1" applyAlignment="1">
      <alignment wrapText="1"/>
    </xf>
    <xf numFmtId="3" fontId="30" fillId="0" borderId="38" xfId="172" applyNumberFormat="1" applyFont="1" applyFill="1" applyBorder="1" applyAlignment="1">
      <alignment wrapText="1"/>
    </xf>
    <xf numFmtId="3" fontId="31" fillId="0" borderId="38" xfId="172" applyNumberFormat="1" applyFont="1" applyFill="1" applyBorder="1" applyAlignment="1">
      <alignment wrapText="1"/>
    </xf>
    <xf numFmtId="3" fontId="31" fillId="0" borderId="76" xfId="172" applyNumberFormat="1" applyFont="1" applyFill="1" applyBorder="1" applyAlignment="1">
      <alignment wrapText="1"/>
    </xf>
    <xf numFmtId="3" fontId="30" fillId="0" borderId="108" xfId="172" applyNumberFormat="1" applyFont="1" applyBorder="1"/>
    <xf numFmtId="3" fontId="30" fillId="0" borderId="109" xfId="172" applyNumberFormat="1" applyFont="1" applyFill="1" applyBorder="1" applyAlignment="1">
      <alignment wrapText="1"/>
    </xf>
    <xf numFmtId="3" fontId="25" fillId="0" borderId="21" xfId="172" applyNumberFormat="1" applyFont="1" applyFill="1" applyBorder="1" applyAlignment="1">
      <alignment wrapText="1"/>
    </xf>
    <xf numFmtId="3" fontId="25" fillId="0" borderId="21" xfId="172" applyNumberFormat="1" applyFont="1" applyFill="1" applyBorder="1"/>
    <xf numFmtId="3" fontId="30" fillId="0" borderId="21" xfId="172" applyNumberFormat="1" applyFont="1" applyFill="1" applyBorder="1" applyAlignment="1">
      <alignment wrapText="1"/>
    </xf>
    <xf numFmtId="3" fontId="31" fillId="0" borderId="43" xfId="172" applyNumberFormat="1" applyFont="1" applyFill="1" applyBorder="1" applyAlignment="1">
      <alignment wrapText="1"/>
    </xf>
    <xf numFmtId="3" fontId="25" fillId="0" borderId="43" xfId="172" applyNumberFormat="1" applyFont="1" applyFill="1" applyBorder="1" applyAlignment="1">
      <alignment wrapText="1"/>
    </xf>
    <xf numFmtId="3" fontId="30" fillId="0" borderId="16" xfId="172" applyNumberFormat="1" applyFont="1" applyFill="1" applyBorder="1" applyAlignment="1">
      <alignment wrapText="1"/>
    </xf>
    <xf numFmtId="3" fontId="35" fillId="0" borderId="11" xfId="176" applyNumberFormat="1" applyFont="1" applyFill="1" applyBorder="1" applyAlignment="1">
      <alignment horizontal="right"/>
    </xf>
    <xf numFmtId="3" fontId="35" fillId="0" borderId="21" xfId="176" applyNumberFormat="1" applyFont="1" applyFill="1" applyBorder="1" applyAlignment="1">
      <alignment horizontal="right"/>
    </xf>
    <xf numFmtId="3" fontId="7" fillId="0" borderId="42" xfId="171" applyNumberFormat="1" applyFont="1" applyBorder="1"/>
    <xf numFmtId="3" fontId="34" fillId="0" borderId="110" xfId="171" applyNumberFormat="1" applyFont="1" applyBorder="1" applyAlignment="1">
      <alignment horizontal="centerContinuous" wrapText="1"/>
    </xf>
    <xf numFmtId="3" fontId="34" fillId="0" borderId="111" xfId="171" applyNumberFormat="1" applyFont="1" applyBorder="1" applyAlignment="1">
      <alignment horizontal="centerContinuous" wrapText="1"/>
    </xf>
    <xf numFmtId="3" fontId="5" fillId="0" borderId="39" xfId="176" applyNumberFormat="1" applyFont="1" applyBorder="1" applyAlignment="1">
      <alignment horizontal="center" wrapText="1"/>
    </xf>
    <xf numFmtId="3" fontId="35" fillId="0" borderId="91" xfId="171" applyNumberFormat="1" applyFont="1" applyBorder="1"/>
    <xf numFmtId="3" fontId="35" fillId="0" borderId="112" xfId="171" applyNumberFormat="1" applyFont="1" applyBorder="1"/>
    <xf numFmtId="3" fontId="34" fillId="0" borderId="83" xfId="171" applyNumberFormat="1" applyFont="1" applyBorder="1" applyAlignment="1">
      <alignment horizontal="centerContinuous" wrapText="1"/>
    </xf>
    <xf numFmtId="3" fontId="34" fillId="0" borderId="91" xfId="171" applyNumberFormat="1" applyFont="1" applyBorder="1" applyAlignment="1">
      <alignment horizontal="centerContinuous" wrapText="1"/>
    </xf>
    <xf numFmtId="0" fontId="5" fillId="0" borderId="0" xfId="171" applyFont="1" applyAlignment="1"/>
    <xf numFmtId="3" fontId="5" fillId="0" borderId="10" xfId="176" applyNumberFormat="1" applyFont="1" applyBorder="1" applyAlignment="1">
      <alignment horizontal="center" wrapText="1"/>
    </xf>
    <xf numFmtId="0" fontId="30" fillId="0" borderId="0" xfId="199" applyFont="1" applyFill="1" applyBorder="1" applyAlignment="1">
      <alignment wrapText="1"/>
    </xf>
    <xf numFmtId="0" fontId="31" fillId="0" borderId="0" xfId="199" applyFont="1" applyFill="1"/>
    <xf numFmtId="0" fontId="30" fillId="0" borderId="0" xfId="199" applyFont="1" applyFill="1" applyBorder="1" applyAlignment="1">
      <alignment horizontal="center" wrapText="1"/>
    </xf>
    <xf numFmtId="0" fontId="31" fillId="0" borderId="0" xfId="199" applyFont="1" applyFill="1" applyBorder="1" applyAlignment="1">
      <alignment wrapText="1"/>
    </xf>
    <xf numFmtId="0" fontId="31" fillId="0" borderId="0" xfId="199" applyFont="1" applyFill="1" applyAlignment="1">
      <alignment wrapText="1"/>
    </xf>
    <xf numFmtId="3" fontId="31" fillId="0" borderId="0" xfId="199" applyNumberFormat="1" applyFont="1" applyFill="1" applyAlignment="1">
      <alignment horizontal="right" wrapText="1"/>
    </xf>
    <xf numFmtId="3" fontId="31" fillId="0" borderId="0" xfId="199" applyNumberFormat="1" applyFont="1" applyFill="1"/>
    <xf numFmtId="0" fontId="49" fillId="0" borderId="37" xfId="0" applyFont="1" applyBorder="1" applyAlignment="1">
      <alignment horizontal="center" wrapText="1"/>
    </xf>
    <xf numFmtId="0" fontId="49" fillId="0" borderId="37" xfId="0" applyFont="1" applyBorder="1" applyAlignment="1">
      <alignment horizontal="center"/>
    </xf>
    <xf numFmtId="3" fontId="30" fillId="0" borderId="37" xfId="200" applyNumberFormat="1" applyFont="1" applyFill="1" applyBorder="1" applyAlignment="1">
      <alignment horizontal="center" wrapText="1"/>
    </xf>
    <xf numFmtId="0" fontId="30" fillId="0" borderId="60" xfId="201" applyFont="1" applyFill="1" applyBorder="1" applyAlignment="1">
      <alignment wrapText="1"/>
    </xf>
    <xf numFmtId="0" fontId="31" fillId="0" borderId="60" xfId="201" applyFont="1" applyFill="1" applyBorder="1" applyAlignment="1">
      <alignment wrapText="1"/>
    </xf>
    <xf numFmtId="3" fontId="31" fillId="0" borderId="60" xfId="201" applyNumberFormat="1" applyFont="1" applyFill="1" applyBorder="1" applyAlignment="1">
      <alignment wrapText="1"/>
    </xf>
    <xf numFmtId="3" fontId="31" fillId="0" borderId="60" xfId="202" applyNumberFormat="1" applyFont="1" applyFill="1" applyBorder="1"/>
    <xf numFmtId="3" fontId="30" fillId="0" borderId="60" xfId="201" applyNumberFormat="1" applyFont="1" applyFill="1" applyBorder="1" applyAlignment="1">
      <alignment wrapText="1"/>
    </xf>
    <xf numFmtId="3" fontId="30" fillId="0" borderId="60" xfId="202" applyNumberFormat="1" applyFont="1" applyFill="1" applyBorder="1"/>
    <xf numFmtId="3" fontId="30" fillId="0" borderId="60" xfId="201" applyNumberFormat="1" applyFont="1" applyFill="1" applyBorder="1"/>
    <xf numFmtId="0" fontId="25" fillId="0" borderId="60" xfId="201" applyFont="1" applyFill="1" applyBorder="1" applyAlignment="1">
      <alignment wrapText="1"/>
    </xf>
    <xf numFmtId="3" fontId="25" fillId="0" borderId="60" xfId="201" applyNumberFormat="1" applyFont="1" applyFill="1" applyBorder="1" applyAlignment="1">
      <alignment wrapText="1"/>
    </xf>
    <xf numFmtId="3" fontId="25" fillId="0" borderId="60" xfId="202" applyNumberFormat="1" applyFont="1" applyFill="1" applyBorder="1" applyAlignment="1"/>
    <xf numFmtId="0" fontId="31" fillId="0" borderId="79" xfId="201" applyFont="1" applyFill="1" applyBorder="1" applyAlignment="1">
      <alignment wrapText="1"/>
    </xf>
    <xf numFmtId="0" fontId="30" fillId="0" borderId="79" xfId="201" applyFont="1" applyFill="1" applyBorder="1" applyAlignment="1">
      <alignment wrapText="1"/>
    </xf>
    <xf numFmtId="3" fontId="30" fillId="0" borderId="79" xfId="201" applyNumberFormat="1" applyFont="1" applyFill="1" applyBorder="1" applyAlignment="1">
      <alignment wrapText="1"/>
    </xf>
    <xf numFmtId="0" fontId="30" fillId="0" borderId="79" xfId="201" applyFont="1" applyFill="1" applyBorder="1" applyAlignment="1"/>
    <xf numFmtId="3" fontId="30" fillId="0" borderId="37" xfId="201" applyNumberFormat="1" applyFont="1" applyFill="1" applyBorder="1" applyAlignment="1">
      <alignment wrapText="1"/>
    </xf>
    <xf numFmtId="3" fontId="31" fillId="0" borderId="114" xfId="172" applyNumberFormat="1" applyFont="1" applyFill="1" applyBorder="1"/>
    <xf numFmtId="3" fontId="5" fillId="0" borderId="87" xfId="176" applyNumberFormat="1" applyFont="1" applyFill="1" applyBorder="1"/>
    <xf numFmtId="3" fontId="30" fillId="0" borderId="115" xfId="172" applyNumberFormat="1" applyFont="1" applyBorder="1"/>
    <xf numFmtId="3" fontId="31" fillId="0" borderId="38" xfId="172" applyNumberFormat="1" applyFont="1" applyBorder="1"/>
    <xf numFmtId="3" fontId="31" fillId="0" borderId="38" xfId="172" applyNumberFormat="1" applyFont="1" applyFill="1" applyBorder="1"/>
    <xf numFmtId="3" fontId="30" fillId="0" borderId="38" xfId="172" applyNumberFormat="1" applyFont="1" applyFill="1" applyBorder="1"/>
    <xf numFmtId="3" fontId="25" fillId="0" borderId="76" xfId="172" applyNumberFormat="1" applyFont="1" applyFill="1" applyBorder="1"/>
    <xf numFmtId="3" fontId="30" fillId="0" borderId="76" xfId="172" applyNumberFormat="1" applyFont="1" applyFill="1" applyBorder="1"/>
    <xf numFmtId="3" fontId="30" fillId="0" borderId="116" xfId="172" applyNumberFormat="1" applyFont="1" applyBorder="1"/>
    <xf numFmtId="3" fontId="30" fillId="0" borderId="117" xfId="172" applyNumberFormat="1" applyFont="1" applyBorder="1"/>
    <xf numFmtId="3" fontId="31" fillId="0" borderId="12" xfId="172" applyNumberFormat="1" applyFont="1" applyBorder="1"/>
    <xf numFmtId="3" fontId="31" fillId="0" borderId="12" xfId="172" applyNumberFormat="1" applyFont="1" applyFill="1" applyBorder="1"/>
    <xf numFmtId="3" fontId="30" fillId="0" borderId="12" xfId="172" applyNumberFormat="1" applyFont="1" applyFill="1" applyBorder="1"/>
    <xf numFmtId="3" fontId="31" fillId="0" borderId="12" xfId="172" applyNumberFormat="1" applyFont="1" applyFill="1" applyBorder="1" applyAlignment="1">
      <alignment wrapText="1"/>
    </xf>
    <xf numFmtId="3" fontId="25" fillId="0" borderId="114" xfId="172" applyNumberFormat="1" applyFont="1" applyFill="1" applyBorder="1"/>
    <xf numFmtId="3" fontId="30" fillId="0" borderId="114" xfId="172" applyNumberFormat="1" applyFont="1" applyFill="1" applyBorder="1"/>
    <xf numFmtId="3" fontId="30" fillId="0" borderId="118" xfId="172" applyNumberFormat="1" applyFont="1" applyBorder="1"/>
    <xf numFmtId="3" fontId="25" fillId="0" borderId="78" xfId="172" applyNumberFormat="1" applyFont="1" applyFill="1" applyBorder="1"/>
    <xf numFmtId="3" fontId="30" fillId="0" borderId="109" xfId="172" applyNumberFormat="1" applyFont="1" applyBorder="1"/>
    <xf numFmtId="3" fontId="31" fillId="0" borderId="21" xfId="172" applyNumberFormat="1" applyFont="1" applyBorder="1"/>
    <xf numFmtId="3" fontId="30" fillId="0" borderId="21" xfId="172" applyNumberFormat="1" applyFont="1" applyFill="1" applyBorder="1"/>
    <xf numFmtId="3" fontId="3" fillId="0" borderId="0" xfId="203" applyNumberFormat="1"/>
    <xf numFmtId="3" fontId="4" fillId="0" borderId="0" xfId="201" applyNumberFormat="1"/>
    <xf numFmtId="3" fontId="3" fillId="0" borderId="0" xfId="203" applyNumberFormat="1" applyAlignment="1">
      <alignment horizontal="right"/>
    </xf>
    <xf numFmtId="3" fontId="51" fillId="0" borderId="14" xfId="204" applyNumberFormat="1" applyFont="1" applyBorder="1" applyAlignment="1">
      <alignment wrapText="1"/>
    </xf>
    <xf numFmtId="3" fontId="35" fillId="0" borderId="10" xfId="205" applyNumberFormat="1" applyFont="1" applyBorder="1" applyAlignment="1">
      <alignment horizontal="right"/>
    </xf>
    <xf numFmtId="3" fontId="5" fillId="0" borderId="43" xfId="204" applyNumberFormat="1" applyFont="1" applyBorder="1" applyAlignment="1">
      <alignment wrapText="1"/>
    </xf>
    <xf numFmtId="3" fontId="37" fillId="0" borderId="43" xfId="204" applyNumberFormat="1" applyFont="1" applyBorder="1" applyAlignment="1">
      <alignment wrapText="1"/>
    </xf>
    <xf numFmtId="3" fontId="35" fillId="0" borderId="47" xfId="205" applyNumberFormat="1" applyFont="1" applyBorder="1" applyAlignment="1">
      <alignment horizontal="right"/>
    </xf>
    <xf numFmtId="3" fontId="50" fillId="0" borderId="43" xfId="204" applyNumberFormat="1" applyFont="1" applyBorder="1" applyAlignment="1">
      <alignment wrapText="1"/>
    </xf>
    <xf numFmtId="3" fontId="6" fillId="0" borderId="43" xfId="204" applyNumberFormat="1" applyFont="1" applyBorder="1" applyAlignment="1">
      <alignment wrapText="1"/>
    </xf>
    <xf numFmtId="3" fontId="35" fillId="0" borderId="40" xfId="205" applyNumberFormat="1" applyFont="1" applyBorder="1" applyAlignment="1">
      <alignment horizontal="right"/>
    </xf>
    <xf numFmtId="0" fontId="50" fillId="0" borderId="43" xfId="204" applyFont="1" applyBorder="1" applyAlignment="1">
      <alignment wrapText="1"/>
    </xf>
    <xf numFmtId="3" fontId="50" fillId="0" borderId="21" xfId="204" applyNumberFormat="1" applyFont="1" applyBorder="1" applyAlignment="1">
      <alignment wrapText="1"/>
    </xf>
    <xf numFmtId="3" fontId="6" fillId="0" borderId="21" xfId="204" applyNumberFormat="1" applyFont="1" applyBorder="1" applyAlignment="1">
      <alignment wrapText="1"/>
    </xf>
    <xf numFmtId="3" fontId="35" fillId="0" borderId="11" xfId="205" applyNumberFormat="1" applyFont="1" applyBorder="1" applyAlignment="1">
      <alignment horizontal="right"/>
    </xf>
    <xf numFmtId="3" fontId="48" fillId="0" borderId="0" xfId="203" applyNumberFormat="1" applyFont="1"/>
    <xf numFmtId="3" fontId="52" fillId="0" borderId="43" xfId="204" applyNumberFormat="1" applyFont="1" applyBorder="1" applyAlignment="1">
      <alignment wrapText="1"/>
    </xf>
    <xf numFmtId="3" fontId="43" fillId="0" borderId="11" xfId="205" applyNumberFormat="1" applyFont="1" applyBorder="1" applyAlignment="1">
      <alignment horizontal="right"/>
    </xf>
    <xf numFmtId="3" fontId="43" fillId="0" borderId="40" xfId="205" applyNumberFormat="1" applyFont="1" applyBorder="1" applyAlignment="1">
      <alignment horizontal="right"/>
    </xf>
    <xf numFmtId="3" fontId="50" fillId="0" borderId="41" xfId="204" applyNumberFormat="1" applyFont="1" applyBorder="1" applyAlignment="1">
      <alignment wrapText="1"/>
    </xf>
    <xf numFmtId="0" fontId="50" fillId="0" borderId="21" xfId="204" applyFont="1" applyBorder="1" applyAlignment="1">
      <alignment wrapText="1"/>
    </xf>
    <xf numFmtId="0" fontId="4" fillId="0" borderId="43" xfId="204" applyFont="1" applyBorder="1" applyAlignment="1">
      <alignment wrapText="1"/>
    </xf>
    <xf numFmtId="0" fontId="4" fillId="0" borderId="21" xfId="204" applyFont="1" applyBorder="1" applyAlignment="1">
      <alignment wrapText="1"/>
    </xf>
    <xf numFmtId="3" fontId="50" fillId="0" borderId="52" xfId="204" applyNumberFormat="1" applyFont="1" applyBorder="1" applyAlignment="1">
      <alignment wrapText="1"/>
    </xf>
    <xf numFmtId="3" fontId="51" fillId="0" borderId="109" xfId="204" applyNumberFormat="1" applyFont="1" applyBorder="1" applyAlignment="1">
      <alignment wrapText="1"/>
    </xf>
    <xf numFmtId="3" fontId="50" fillId="0" borderId="42" xfId="204" applyNumberFormat="1" applyFont="1" applyBorder="1" applyAlignment="1">
      <alignment wrapText="1"/>
    </xf>
    <xf numFmtId="3" fontId="6" fillId="0" borderId="42" xfId="204" applyNumberFormat="1" applyFont="1" applyBorder="1" applyAlignment="1">
      <alignment wrapText="1"/>
    </xf>
    <xf numFmtId="3" fontId="52" fillId="0" borderId="42" xfId="204" applyNumberFormat="1" applyFont="1" applyBorder="1" applyAlignment="1">
      <alignment wrapText="1"/>
    </xf>
    <xf numFmtId="3" fontId="6" fillId="0" borderId="11" xfId="204" applyNumberFormat="1" applyFont="1" applyBorder="1" applyAlignment="1">
      <alignment wrapText="1"/>
    </xf>
    <xf numFmtId="3" fontId="52" fillId="0" borderId="21" xfId="204" applyNumberFormat="1" applyFont="1" applyBorder="1" applyAlignment="1">
      <alignment wrapText="1"/>
    </xf>
    <xf numFmtId="3" fontId="52" fillId="0" borderId="11" xfId="204" applyNumberFormat="1" applyFont="1" applyBorder="1" applyAlignment="1">
      <alignment wrapText="1"/>
    </xf>
    <xf numFmtId="3" fontId="50" fillId="0" borderId="109" xfId="204" applyNumberFormat="1" applyFont="1" applyBorder="1" applyAlignment="1">
      <alignment wrapText="1"/>
    </xf>
    <xf numFmtId="3" fontId="50" fillId="0" borderId="47" xfId="204" applyNumberFormat="1" applyFont="1" applyBorder="1" applyAlignment="1">
      <alignment wrapText="1"/>
    </xf>
    <xf numFmtId="3" fontId="53" fillId="0" borderId="10" xfId="205" applyNumberFormat="1" applyFont="1" applyBorder="1" applyAlignment="1">
      <alignment horizontal="center"/>
    </xf>
    <xf numFmtId="3" fontId="53" fillId="0" borderId="45" xfId="205" applyNumberFormat="1" applyFont="1" applyBorder="1" applyAlignment="1">
      <alignment horizontal="center"/>
    </xf>
    <xf numFmtId="3" fontId="54" fillId="0" borderId="14" xfId="204" applyNumberFormat="1" applyFont="1" applyBorder="1" applyAlignment="1">
      <alignment horizontal="center" wrapText="1"/>
    </xf>
    <xf numFmtId="3" fontId="55" fillId="0" borderId="44" xfId="205" applyNumberFormat="1" applyFont="1" applyBorder="1" applyAlignment="1">
      <alignment horizontal="center" vertical="center" wrapText="1"/>
    </xf>
    <xf numFmtId="3" fontId="56" fillId="0" borderId="45" xfId="205" applyNumberFormat="1" applyFont="1" applyBorder="1" applyAlignment="1">
      <alignment horizontal="center" vertical="center" wrapText="1"/>
    </xf>
    <xf numFmtId="3" fontId="53" fillId="0" borderId="45" xfId="205" applyNumberFormat="1" applyFont="1" applyBorder="1" applyAlignment="1">
      <alignment horizontal="center" vertical="center" wrapText="1"/>
    </xf>
    <xf numFmtId="3" fontId="55" fillId="0" borderId="119" xfId="205" applyNumberFormat="1" applyFont="1" applyBorder="1" applyAlignment="1">
      <alignment horizontal="center" vertical="center" wrapText="1"/>
    </xf>
    <xf numFmtId="3" fontId="55" fillId="0" borderId="64" xfId="205" applyNumberFormat="1" applyFont="1" applyBorder="1" applyAlignment="1">
      <alignment horizontal="center" vertical="center" wrapText="1"/>
    </xf>
    <xf numFmtId="0" fontId="4" fillId="0" borderId="0" xfId="201"/>
    <xf numFmtId="3" fontId="51" fillId="0" borderId="10" xfId="205" applyNumberFormat="1" applyFont="1" applyBorder="1"/>
    <xf numFmtId="0" fontId="51" fillId="0" borderId="14" xfId="204" applyFont="1" applyBorder="1" applyAlignment="1">
      <alignment wrapText="1"/>
    </xf>
    <xf numFmtId="0" fontId="35" fillId="0" borderId="10" xfId="205" applyFont="1" applyBorder="1"/>
    <xf numFmtId="3" fontId="51" fillId="0" borderId="14" xfId="205" applyNumberFormat="1" applyFont="1" applyBorder="1"/>
    <xf numFmtId="3" fontId="51" fillId="25" borderId="11" xfId="205" applyNumberFormat="1" applyFont="1" applyFill="1" applyBorder="1"/>
    <xf numFmtId="3" fontId="51" fillId="25" borderId="20" xfId="205" applyNumberFormat="1" applyFont="1" applyFill="1" applyBorder="1"/>
    <xf numFmtId="3" fontId="51" fillId="25" borderId="38" xfId="205" applyNumberFormat="1" applyFont="1" applyFill="1" applyBorder="1"/>
    <xf numFmtId="0" fontId="34" fillId="0" borderId="11" xfId="205" applyFont="1" applyBorder="1"/>
    <xf numFmtId="3" fontId="37" fillId="0" borderId="21" xfId="204" applyNumberFormat="1" applyFont="1" applyBorder="1" applyAlignment="1">
      <alignment wrapText="1"/>
    </xf>
    <xf numFmtId="3" fontId="50" fillId="0" borderId="47" xfId="205" applyNumberFormat="1" applyFont="1" applyBorder="1"/>
    <xf numFmtId="3" fontId="50" fillId="0" borderId="101" xfId="205" applyNumberFormat="1" applyFont="1" applyBorder="1"/>
    <xf numFmtId="3" fontId="50" fillId="0" borderId="90" xfId="205" applyNumberFormat="1" applyFont="1" applyBorder="1"/>
    <xf numFmtId="3" fontId="50" fillId="0" borderId="17" xfId="205" applyNumberFormat="1" applyFont="1" applyBorder="1"/>
    <xf numFmtId="3" fontId="50" fillId="0" borderId="115" xfId="205" applyNumberFormat="1" applyFont="1" applyBorder="1"/>
    <xf numFmtId="0" fontId="35" fillId="0" borderId="47" xfId="205" applyFont="1" applyBorder="1"/>
    <xf numFmtId="3" fontId="50" fillId="0" borderId="42" xfId="205" applyNumberFormat="1" applyFont="1" applyBorder="1"/>
    <xf numFmtId="3" fontId="50" fillId="0" borderId="11" xfId="205" applyNumberFormat="1" applyFont="1" applyBorder="1"/>
    <xf numFmtId="3" fontId="50" fillId="0" borderId="69" xfId="205" applyNumberFormat="1" applyFont="1" applyBorder="1"/>
    <xf numFmtId="3" fontId="50" fillId="0" borderId="20" xfId="205" applyNumberFormat="1" applyFont="1" applyBorder="1"/>
    <xf numFmtId="3" fontId="50" fillId="0" borderId="24" xfId="205" applyNumberFormat="1" applyFont="1" applyBorder="1"/>
    <xf numFmtId="3" fontId="50" fillId="0" borderId="67" xfId="205" applyNumberFormat="1" applyFont="1" applyBorder="1"/>
    <xf numFmtId="0" fontId="35" fillId="0" borderId="40" xfId="205" applyFont="1" applyBorder="1"/>
    <xf numFmtId="0" fontId="6" fillId="0" borderId="43" xfId="204" applyFont="1" applyBorder="1" applyAlignment="1">
      <alignment wrapText="1"/>
    </xf>
    <xf numFmtId="3" fontId="50" fillId="0" borderId="38" xfId="205" applyNumberFormat="1" applyFont="1" applyBorder="1"/>
    <xf numFmtId="3" fontId="50" fillId="0" borderId="78" xfId="205" applyNumberFormat="1" applyFont="1" applyBorder="1"/>
    <xf numFmtId="0" fontId="6" fillId="0" borderId="21" xfId="204" applyFont="1" applyBorder="1" applyAlignment="1">
      <alignment wrapText="1"/>
    </xf>
    <xf numFmtId="0" fontId="35" fillId="0" borderId="11" xfId="205" applyFont="1" applyBorder="1"/>
    <xf numFmtId="0" fontId="6" fillId="0" borderId="0" xfId="201" applyFont="1"/>
    <xf numFmtId="3" fontId="6" fillId="0" borderId="42" xfId="205" applyNumberFormat="1" applyFont="1" applyBorder="1"/>
    <xf numFmtId="3" fontId="6" fillId="0" borderId="11" xfId="205" applyNumberFormat="1" applyFont="1" applyBorder="1"/>
    <xf numFmtId="3" fontId="6" fillId="0" borderId="69" xfId="205" applyNumberFormat="1" applyFont="1" applyBorder="1"/>
    <xf numFmtId="3" fontId="6" fillId="0" borderId="20" xfId="205" applyNumberFormat="1" applyFont="1" applyBorder="1"/>
    <xf numFmtId="3" fontId="6" fillId="0" borderId="23" xfId="205" applyNumberFormat="1" applyFont="1" applyBorder="1"/>
    <xf numFmtId="3" fontId="6" fillId="0" borderId="68" xfId="205" applyNumberFormat="1" applyFont="1" applyBorder="1"/>
    <xf numFmtId="3" fontId="6" fillId="0" borderId="24" xfId="205" applyNumberFormat="1" applyFont="1" applyBorder="1"/>
    <xf numFmtId="3" fontId="6" fillId="0" borderId="67" xfId="205" applyNumberFormat="1" applyFont="1" applyBorder="1"/>
    <xf numFmtId="0" fontId="6" fillId="0" borderId="40" xfId="205" applyFont="1" applyBorder="1"/>
    <xf numFmtId="3" fontId="50" fillId="0" borderId="23" xfId="205" applyNumberFormat="1" applyFont="1" applyBorder="1"/>
    <xf numFmtId="3" fontId="50" fillId="0" borderId="68" xfId="205" applyNumberFormat="1" applyFont="1" applyBorder="1"/>
    <xf numFmtId="3" fontId="50" fillId="0" borderId="40" xfId="205" applyNumberFormat="1" applyFont="1" applyBorder="1"/>
    <xf numFmtId="3" fontId="50" fillId="0" borderId="19" xfId="205" applyNumberFormat="1" applyFont="1" applyBorder="1"/>
    <xf numFmtId="3" fontId="50" fillId="25" borderId="67" xfId="205" applyNumberFormat="1" applyFont="1" applyFill="1" applyBorder="1"/>
    <xf numFmtId="0" fontId="50" fillId="0" borderId="41" xfId="204" applyFont="1" applyBorder="1" applyAlignment="1">
      <alignment wrapText="1"/>
    </xf>
    <xf numFmtId="3" fontId="6" fillId="25" borderId="67" xfId="205" applyNumberFormat="1" applyFont="1" applyFill="1" applyBorder="1"/>
    <xf numFmtId="3" fontId="6" fillId="0" borderId="77" xfId="205" applyNumberFormat="1" applyFont="1" applyBorder="1"/>
    <xf numFmtId="3" fontId="6" fillId="0" borderId="78" xfId="205" applyNumberFormat="1" applyFont="1" applyBorder="1"/>
    <xf numFmtId="3" fontId="6" fillId="0" borderId="76" xfId="205" applyNumberFormat="1" applyFont="1" applyBorder="1"/>
    <xf numFmtId="0" fontId="6" fillId="0" borderId="87" xfId="205" applyFont="1" applyBorder="1"/>
    <xf numFmtId="3" fontId="6" fillId="0" borderId="120" xfId="205" applyNumberFormat="1" applyFont="1" applyBorder="1"/>
    <xf numFmtId="3" fontId="6" fillId="0" borderId="121" xfId="205" applyNumberFormat="1" applyFont="1" applyBorder="1"/>
    <xf numFmtId="3" fontId="6" fillId="0" borderId="122" xfId="205" applyNumberFormat="1" applyFont="1" applyBorder="1"/>
    <xf numFmtId="3" fontId="50" fillId="0" borderId="25" xfId="205" applyNumberFormat="1" applyFont="1" applyBorder="1"/>
    <xf numFmtId="3" fontId="50" fillId="0" borderId="85" xfId="205" applyNumberFormat="1" applyFont="1" applyBorder="1"/>
    <xf numFmtId="3" fontId="6" fillId="0" borderId="25" xfId="205" applyNumberFormat="1" applyFont="1" applyBorder="1"/>
    <xf numFmtId="3" fontId="6" fillId="0" borderId="38" xfId="205" applyNumberFormat="1" applyFont="1" applyBorder="1"/>
    <xf numFmtId="0" fontId="6" fillId="0" borderId="11" xfId="205" applyFont="1" applyBorder="1"/>
    <xf numFmtId="3" fontId="6" fillId="0" borderId="21" xfId="205" applyNumberFormat="1" applyFont="1" applyBorder="1"/>
    <xf numFmtId="3" fontId="6" fillId="0" borderId="26" xfId="205" applyNumberFormat="1" applyFont="1" applyBorder="1"/>
    <xf numFmtId="0" fontId="51" fillId="0" borderId="10" xfId="204" applyFont="1" applyBorder="1" applyAlignment="1">
      <alignment wrapText="1"/>
    </xf>
    <xf numFmtId="0" fontId="50" fillId="0" borderId="52" xfId="204" applyFont="1" applyBorder="1" applyAlignment="1">
      <alignment wrapText="1"/>
    </xf>
    <xf numFmtId="3" fontId="51" fillId="0" borderId="47" xfId="205" applyNumberFormat="1" applyFont="1" applyBorder="1"/>
    <xf numFmtId="3" fontId="51" fillId="0" borderId="101" xfId="205" applyNumberFormat="1" applyFont="1" applyBorder="1"/>
    <xf numFmtId="3" fontId="51" fillId="0" borderId="17" xfId="205" applyNumberFormat="1" applyFont="1" applyBorder="1"/>
    <xf numFmtId="3" fontId="51" fillId="0" borderId="115" xfId="205" applyNumberFormat="1" applyFont="1" applyBorder="1"/>
    <xf numFmtId="3" fontId="51" fillId="0" borderId="90" xfId="205" applyNumberFormat="1" applyFont="1" applyBorder="1"/>
    <xf numFmtId="0" fontId="51" fillId="0" borderId="109" xfId="204" applyFont="1" applyBorder="1" applyAlignment="1">
      <alignment wrapText="1"/>
    </xf>
    <xf numFmtId="0" fontId="50" fillId="0" borderId="109" xfId="204" applyFont="1" applyBorder="1" applyAlignment="1">
      <alignment wrapText="1"/>
    </xf>
    <xf numFmtId="0" fontId="4" fillId="0" borderId="0" xfId="201" applyFont="1"/>
    <xf numFmtId="3" fontId="4" fillId="0" borderId="42" xfId="205" applyNumberFormat="1" applyFont="1" applyBorder="1"/>
    <xf numFmtId="3" fontId="4" fillId="0" borderId="11" xfId="205" applyNumberFormat="1" applyFont="1" applyBorder="1"/>
    <xf numFmtId="3" fontId="4" fillId="0" borderId="78" xfId="205" applyNumberFormat="1" applyFont="1" applyBorder="1"/>
    <xf numFmtId="3" fontId="4" fillId="0" borderId="85" xfId="205" applyNumberFormat="1" applyFont="1" applyBorder="1"/>
    <xf numFmtId="3" fontId="4" fillId="0" borderId="24" xfId="205" applyNumberFormat="1" applyFont="1" applyBorder="1"/>
    <xf numFmtId="3" fontId="4" fillId="0" borderId="69" xfId="205" applyNumberFormat="1" applyFont="1" applyBorder="1"/>
    <xf numFmtId="3" fontId="4" fillId="0" borderId="38" xfId="205" applyNumberFormat="1" applyFont="1" applyBorder="1"/>
    <xf numFmtId="0" fontId="4" fillId="0" borderId="40" xfId="205" applyFont="1" applyBorder="1"/>
    <xf numFmtId="3" fontId="6" fillId="0" borderId="85" xfId="205" applyNumberFormat="1" applyFont="1" applyBorder="1"/>
    <xf numFmtId="0" fontId="58" fillId="0" borderId="0" xfId="201" applyFont="1" applyAlignment="1">
      <alignment horizontal="center"/>
    </xf>
    <xf numFmtId="3" fontId="54" fillId="0" borderId="10" xfId="205" applyNumberFormat="1" applyFont="1" applyBorder="1" applyAlignment="1">
      <alignment horizontal="center"/>
    </xf>
    <xf numFmtId="3" fontId="54" fillId="0" borderId="39" xfId="205" applyNumberFormat="1" applyFont="1" applyBorder="1" applyAlignment="1">
      <alignment horizontal="center"/>
    </xf>
    <xf numFmtId="3" fontId="54" fillId="0" borderId="14" xfId="205" applyNumberFormat="1" applyFont="1" applyBorder="1" applyAlignment="1">
      <alignment horizontal="center"/>
    </xf>
    <xf numFmtId="3" fontId="59" fillId="0" borderId="10" xfId="205" applyNumberFormat="1" applyFont="1" applyBorder="1" applyAlignment="1">
      <alignment horizontal="center"/>
    </xf>
    <xf numFmtId="0" fontId="54" fillId="0" borderId="14" xfId="204" applyFont="1" applyBorder="1" applyAlignment="1">
      <alignment horizontal="center" wrapText="1"/>
    </xf>
    <xf numFmtId="0" fontId="60" fillId="0" borderId="10" xfId="205" applyFont="1" applyBorder="1" applyAlignment="1">
      <alignment horizontal="center"/>
    </xf>
    <xf numFmtId="3" fontId="55" fillId="0" borderId="10" xfId="205" applyNumberFormat="1" applyFont="1" applyBorder="1" applyAlignment="1">
      <alignment horizontal="center" vertical="center" wrapText="1"/>
    </xf>
    <xf numFmtId="3" fontId="55" fillId="0" borderId="39" xfId="205" applyNumberFormat="1" applyFont="1" applyBorder="1" applyAlignment="1">
      <alignment horizontal="center" vertical="center" wrapText="1"/>
    </xf>
    <xf numFmtId="0" fontId="55" fillId="0" borderId="10" xfId="205" applyFont="1" applyBorder="1" applyAlignment="1">
      <alignment horizontal="center" vertical="center" wrapText="1"/>
    </xf>
    <xf numFmtId="3" fontId="55" fillId="0" borderId="84" xfId="205" applyNumberFormat="1" applyFont="1" applyBorder="1" applyAlignment="1">
      <alignment horizontal="center" vertical="center" wrapText="1"/>
    </xf>
    <xf numFmtId="3" fontId="55" fillId="0" borderId="14" xfId="205" applyNumberFormat="1" applyFont="1" applyBorder="1" applyAlignment="1">
      <alignment horizontal="center" vertical="center" wrapText="1"/>
    </xf>
    <xf numFmtId="0" fontId="55" fillId="0" borderId="14" xfId="204" applyFont="1" applyBorder="1" applyAlignment="1">
      <alignment horizontal="center" vertical="center" wrapText="1"/>
    </xf>
    <xf numFmtId="0" fontId="27" fillId="0" borderId="10" xfId="205" applyFont="1" applyBorder="1" applyAlignment="1">
      <alignment horizontal="center"/>
    </xf>
    <xf numFmtId="3" fontId="5" fillId="0" borderId="34" xfId="0" applyNumberFormat="1" applyFont="1" applyFill="1" applyBorder="1"/>
    <xf numFmtId="0" fontId="0" fillId="0" borderId="33" xfId="0" applyFont="1" applyFill="1" applyBorder="1" applyAlignment="1">
      <alignment wrapText="1"/>
    </xf>
    <xf numFmtId="3" fontId="0" fillId="0" borderId="38" xfId="0" applyNumberFormat="1" applyFill="1" applyBorder="1"/>
    <xf numFmtId="3" fontId="5" fillId="0" borderId="63" xfId="0" applyNumberFormat="1" applyFont="1" applyFill="1" applyBorder="1"/>
    <xf numFmtId="3" fontId="0" fillId="0" borderId="69" xfId="0" applyNumberFormat="1" applyFill="1" applyBorder="1"/>
    <xf numFmtId="3" fontId="5" fillId="0" borderId="60" xfId="0" applyNumberFormat="1" applyFont="1" applyFill="1" applyBorder="1"/>
    <xf numFmtId="3" fontId="0" fillId="0" borderId="60" xfId="0" applyNumberFormat="1" applyFill="1" applyBorder="1"/>
    <xf numFmtId="3" fontId="0" fillId="0" borderId="0" xfId="0" applyNumberFormat="1" applyFill="1"/>
    <xf numFmtId="0" fontId="5" fillId="0" borderId="33" xfId="198" applyFont="1" applyBorder="1" applyAlignment="1">
      <alignment wrapText="1"/>
    </xf>
    <xf numFmtId="3" fontId="37" fillId="0" borderId="73" xfId="0" applyNumberFormat="1" applyFont="1" applyBorder="1" applyAlignment="1">
      <alignment wrapText="1"/>
    </xf>
    <xf numFmtId="3" fontId="6" fillId="0" borderId="73" xfId="0" applyNumberFormat="1" applyFont="1" applyBorder="1" applyAlignment="1">
      <alignment wrapText="1"/>
    </xf>
    <xf numFmtId="0" fontId="4" fillId="0" borderId="11" xfId="205" applyFont="1" applyBorder="1"/>
    <xf numFmtId="3" fontId="4" fillId="0" borderId="20" xfId="205" applyNumberFormat="1" applyFont="1" applyBorder="1"/>
    <xf numFmtId="3" fontId="51" fillId="25" borderId="69" xfId="205" applyNumberFormat="1" applyFont="1" applyFill="1" applyBorder="1"/>
    <xf numFmtId="3" fontId="0" fillId="0" borderId="74" xfId="0" applyNumberFormat="1" applyBorder="1"/>
    <xf numFmtId="3" fontId="0" fillId="0" borderId="123" xfId="0" applyNumberFormat="1" applyFont="1" applyFill="1" applyBorder="1" applyAlignment="1">
      <alignment wrapText="1"/>
    </xf>
    <xf numFmtId="3" fontId="6" fillId="0" borderId="123" xfId="0" applyNumberFormat="1" applyFont="1" applyFill="1" applyBorder="1" applyAlignment="1">
      <alignment wrapText="1"/>
    </xf>
    <xf numFmtId="3" fontId="0" fillId="0" borderId="38" xfId="0" applyNumberFormat="1" applyFont="1" applyFill="1" applyBorder="1"/>
    <xf numFmtId="3" fontId="0" fillId="0" borderId="69" xfId="0" applyNumberFormat="1" applyFont="1" applyFill="1" applyBorder="1"/>
    <xf numFmtId="3" fontId="0" fillId="0" borderId="60" xfId="0" applyNumberFormat="1" applyFont="1" applyFill="1" applyBorder="1"/>
    <xf numFmtId="3" fontId="0" fillId="0" borderId="33" xfId="0" applyNumberFormat="1" applyFont="1" applyBorder="1" applyAlignment="1">
      <alignment wrapText="1"/>
    </xf>
    <xf numFmtId="3" fontId="6" fillId="0" borderId="33" xfId="0" applyNumberFormat="1" applyFont="1" applyBorder="1" applyAlignment="1">
      <alignment wrapText="1"/>
    </xf>
    <xf numFmtId="0" fontId="0" fillId="0" borderId="15" xfId="171" applyFont="1" applyBorder="1"/>
    <xf numFmtId="0" fontId="0" fillId="0" borderId="42" xfId="171" applyFont="1" applyBorder="1" applyAlignment="1">
      <alignment wrapText="1"/>
    </xf>
    <xf numFmtId="0" fontId="0" fillId="0" borderId="42" xfId="171" applyFont="1" applyBorder="1"/>
    <xf numFmtId="3" fontId="6" fillId="0" borderId="81" xfId="174" applyNumberFormat="1" applyFont="1" applyFill="1" applyBorder="1" applyAlignment="1">
      <alignment wrapText="1"/>
    </xf>
    <xf numFmtId="3" fontId="35" fillId="0" borderId="82" xfId="174" applyNumberFormat="1" applyFont="1" applyFill="1" applyBorder="1"/>
    <xf numFmtId="0" fontId="7" fillId="0" borderId="42" xfId="171" applyFont="1" applyBorder="1"/>
    <xf numFmtId="3" fontId="5" fillId="0" borderId="21" xfId="204" applyNumberFormat="1" applyFont="1" applyBorder="1" applyAlignment="1">
      <alignment wrapText="1"/>
    </xf>
    <xf numFmtId="3" fontId="43" fillId="0" borderId="15" xfId="205" applyNumberFormat="1" applyFont="1" applyBorder="1" applyAlignment="1">
      <alignment horizontal="right"/>
    </xf>
    <xf numFmtId="3" fontId="6" fillId="0" borderId="102" xfId="204" applyNumberFormat="1" applyFont="1" applyBorder="1" applyAlignment="1">
      <alignment wrapText="1"/>
    </xf>
    <xf numFmtId="3" fontId="0" fillId="0" borderId="34" xfId="0" applyNumberFormat="1" applyFont="1" applyBorder="1"/>
    <xf numFmtId="3" fontId="0" fillId="0" borderId="24" xfId="0" applyNumberFormat="1" applyFont="1" applyBorder="1"/>
    <xf numFmtId="3" fontId="34" fillId="0" borderId="10" xfId="171" applyNumberFormat="1" applyFont="1" applyBorder="1" applyAlignment="1">
      <alignment horizontal="center" wrapText="1"/>
    </xf>
    <xf numFmtId="3" fontId="37" fillId="0" borderId="23" xfId="0" applyNumberFormat="1" applyFont="1" applyBorder="1"/>
    <xf numFmtId="3" fontId="37" fillId="0" borderId="68" xfId="0" applyNumberFormat="1" applyFont="1" applyBorder="1"/>
    <xf numFmtId="3" fontId="31" fillId="0" borderId="11" xfId="152" applyNumberFormat="1" applyFont="1" applyFill="1" applyBorder="1" applyAlignment="1">
      <alignment horizontal="right" wrapText="1"/>
    </xf>
    <xf numFmtId="3" fontId="0" fillId="0" borderId="20" xfId="0" applyNumberFormat="1" applyFont="1" applyBorder="1"/>
    <xf numFmtId="3" fontId="0" fillId="0" borderId="19" xfId="0" applyNumberFormat="1" applyFont="1" applyBorder="1"/>
    <xf numFmtId="3" fontId="0" fillId="0" borderId="33" xfId="0" applyNumberFormat="1" applyBorder="1"/>
    <xf numFmtId="3" fontId="0" fillId="0" borderId="20" xfId="0" applyNumberFormat="1" applyFont="1" applyFill="1" applyBorder="1"/>
    <xf numFmtId="3" fontId="0" fillId="0" borderId="66" xfId="0" applyNumberFormat="1" applyFont="1" applyFill="1" applyBorder="1"/>
    <xf numFmtId="3" fontId="0" fillId="0" borderId="67" xfId="0" applyNumberFormat="1" applyFont="1" applyFill="1" applyBorder="1"/>
    <xf numFmtId="3" fontId="0" fillId="0" borderId="19" xfId="0" applyNumberFormat="1" applyFont="1" applyFill="1" applyBorder="1"/>
    <xf numFmtId="3" fontId="0" fillId="0" borderId="63" xfId="0" applyNumberFormat="1" applyFont="1" applyFill="1" applyBorder="1"/>
    <xf numFmtId="3" fontId="0" fillId="0" borderId="0" xfId="0" applyNumberFormat="1" applyFont="1" applyFill="1"/>
    <xf numFmtId="3" fontId="0" fillId="0" borderId="33" xfId="0" applyNumberFormat="1" applyFill="1" applyBorder="1"/>
    <xf numFmtId="0" fontId="5" fillId="0" borderId="79" xfId="175" applyFont="1" applyFill="1" applyBorder="1" applyAlignment="1">
      <alignment horizontal="right"/>
    </xf>
    <xf numFmtId="0" fontId="26" fillId="0" borderId="0" xfId="157" applyFill="1"/>
    <xf numFmtId="0" fontId="0" fillId="0" borderId="33" xfId="198" applyFont="1" applyFill="1" applyBorder="1" applyAlignment="1">
      <alignment wrapText="1"/>
    </xf>
    <xf numFmtId="0" fontId="0" fillId="0" borderId="73" xfId="198" applyFont="1" applyBorder="1" applyAlignment="1">
      <alignment wrapText="1"/>
    </xf>
    <xf numFmtId="3" fontId="4" fillId="0" borderId="19" xfId="0" applyNumberFormat="1" applyFont="1" applyBorder="1"/>
    <xf numFmtId="3" fontId="0" fillId="0" borderId="123" xfId="0" applyNumberFormat="1" applyFill="1" applyBorder="1" applyAlignment="1">
      <alignment wrapText="1"/>
    </xf>
    <xf numFmtId="3" fontId="0" fillId="0" borderId="23" xfId="0" applyNumberFormat="1" applyFill="1" applyBorder="1"/>
    <xf numFmtId="0" fontId="0" fillId="0" borderId="73" xfId="0" applyFont="1" applyFill="1" applyBorder="1" applyAlignment="1">
      <alignment wrapText="1"/>
    </xf>
    <xf numFmtId="3" fontId="7" fillId="0" borderId="15" xfId="171" applyNumberFormat="1" applyFont="1" applyFill="1" applyBorder="1"/>
    <xf numFmtId="3" fontId="36" fillId="0" borderId="10" xfId="171" applyNumberFormat="1" applyFont="1" applyFill="1" applyBorder="1"/>
    <xf numFmtId="4" fontId="36" fillId="0" borderId="10" xfId="171" applyNumberFormat="1" applyFont="1" applyFill="1" applyBorder="1"/>
    <xf numFmtId="0" fontId="55" fillId="0" borderId="10" xfId="204" applyFont="1" applyBorder="1" applyAlignment="1">
      <alignment horizontal="center" vertical="center" wrapText="1"/>
    </xf>
    <xf numFmtId="2" fontId="62" fillId="0" borderId="14" xfId="207" applyNumberFormat="1" applyFont="1" applyBorder="1" applyAlignment="1">
      <alignment horizontal="center" wrapText="1"/>
    </xf>
    <xf numFmtId="2" fontId="62" fillId="0" borderId="10" xfId="207" applyNumberFormat="1" applyFont="1" applyBorder="1" applyAlignment="1">
      <alignment horizontal="center"/>
    </xf>
    <xf numFmtId="0" fontId="63" fillId="0" borderId="0" xfId="208" applyFont="1"/>
    <xf numFmtId="3" fontId="62" fillId="0" borderId="10" xfId="207" applyNumberFormat="1" applyFont="1" applyBorder="1" applyAlignment="1">
      <alignment horizontal="left"/>
    </xf>
    <xf numFmtId="3" fontId="31" fillId="0" borderId="40" xfId="207" applyNumberFormat="1" applyFont="1" applyBorder="1" applyAlignment="1">
      <alignment horizontal="left"/>
    </xf>
    <xf numFmtId="4" fontId="31" fillId="0" borderId="22" xfId="208" applyNumberFormat="1" applyFont="1" applyBorder="1" applyAlignment="1">
      <alignment horizontal="center"/>
    </xf>
    <xf numFmtId="4" fontId="31" fillId="0" borderId="21" xfId="208" applyNumberFormat="1" applyFont="1" applyBorder="1" applyAlignment="1">
      <alignment horizontal="center"/>
    </xf>
    <xf numFmtId="3" fontId="31" fillId="0" borderId="11" xfId="207" applyNumberFormat="1" applyFont="1" applyBorder="1" applyAlignment="1">
      <alignment horizontal="left"/>
    </xf>
    <xf numFmtId="3" fontId="30" fillId="0" borderId="10" xfId="207" applyNumberFormat="1" applyFont="1" applyBorder="1" applyAlignment="1">
      <alignment horizontal="left"/>
    </xf>
    <xf numFmtId="4" fontId="30" fillId="0" borderId="10" xfId="207" applyNumberFormat="1" applyFont="1" applyBorder="1" applyAlignment="1">
      <alignment horizontal="center"/>
    </xf>
    <xf numFmtId="3" fontId="31" fillId="0" borderId="11" xfId="207" applyNumberFormat="1" applyFont="1" applyBorder="1" applyAlignment="1">
      <alignment horizontal="left" wrapText="1"/>
    </xf>
    <xf numFmtId="3" fontId="31" fillId="0" borderId="11" xfId="207" applyNumberFormat="1" applyFont="1" applyBorder="1" applyAlignment="1"/>
    <xf numFmtId="4" fontId="30" fillId="0" borderId="10" xfId="207" applyNumberFormat="1" applyFont="1" applyBorder="1" applyAlignment="1">
      <alignment horizontal="left"/>
    </xf>
    <xf numFmtId="3" fontId="31" fillId="0" borderId="22" xfId="207" applyNumberFormat="1" applyFont="1" applyBorder="1" applyAlignment="1">
      <alignment horizontal="left"/>
    </xf>
    <xf numFmtId="2" fontId="31" fillId="26" borderId="11" xfId="207" applyNumberFormat="1" applyFont="1" applyFill="1" applyBorder="1" applyAlignment="1">
      <alignment horizontal="center"/>
    </xf>
    <xf numFmtId="3" fontId="31" fillId="0" borderId="0" xfId="207" applyNumberFormat="1" applyFont="1" applyBorder="1" applyAlignment="1">
      <alignment horizontal="left"/>
    </xf>
    <xf numFmtId="2" fontId="63" fillId="0" borderId="0" xfId="208" applyNumberFormat="1" applyFont="1" applyAlignment="1">
      <alignment horizontal="center"/>
    </xf>
    <xf numFmtId="4" fontId="31" fillId="0" borderId="17" xfId="208" applyNumberFormat="1" applyFont="1" applyBorder="1" applyAlignment="1">
      <alignment horizontal="center"/>
    </xf>
    <xf numFmtId="4" fontId="31" fillId="0" borderId="18" xfId="208" applyNumberFormat="1" applyFont="1" applyBorder="1" applyAlignment="1">
      <alignment horizontal="center"/>
    </xf>
    <xf numFmtId="4" fontId="31" fillId="0" borderId="24" xfId="208" applyNumberFormat="1" applyFont="1" applyBorder="1" applyAlignment="1">
      <alignment horizontal="center"/>
    </xf>
    <xf numFmtId="4" fontId="31" fillId="0" borderId="25" xfId="208" applyNumberFormat="1" applyFont="1" applyBorder="1" applyAlignment="1">
      <alignment horizontal="center"/>
    </xf>
    <xf numFmtId="4" fontId="31" fillId="0" borderId="28" xfId="208" applyNumberFormat="1" applyFont="1" applyBorder="1" applyAlignment="1">
      <alignment horizontal="center"/>
    </xf>
    <xf numFmtId="4" fontId="31" fillId="0" borderId="29" xfId="208" applyNumberFormat="1" applyFont="1" applyBorder="1" applyAlignment="1">
      <alignment horizontal="center"/>
    </xf>
    <xf numFmtId="2" fontId="63" fillId="0" borderId="0" xfId="208" applyNumberFormat="1" applyFont="1" applyBorder="1" applyAlignment="1">
      <alignment horizontal="center"/>
    </xf>
    <xf numFmtId="3" fontId="31" fillId="0" borderId="86" xfId="207" applyNumberFormat="1" applyFont="1" applyBorder="1" applyAlignment="1">
      <alignment horizontal="left"/>
    </xf>
    <xf numFmtId="2" fontId="63" fillId="0" borderId="86" xfId="208" applyNumberFormat="1" applyFont="1" applyBorder="1" applyAlignment="1">
      <alignment horizontal="center"/>
    </xf>
    <xf numFmtId="3" fontId="30" fillId="0" borderId="10" xfId="207" applyNumberFormat="1" applyFont="1" applyBorder="1" applyAlignment="1">
      <alignment horizontal="center" wrapText="1"/>
    </xf>
    <xf numFmtId="0" fontId="2" fillId="0" borderId="0" xfId="209"/>
    <xf numFmtId="3" fontId="30" fillId="0" borderId="40" xfId="207" applyNumberFormat="1" applyFont="1" applyBorder="1" applyAlignment="1">
      <alignment horizontal="right"/>
    </xf>
    <xf numFmtId="3" fontId="31" fillId="0" borderId="40" xfId="207" applyNumberFormat="1" applyFont="1" applyBorder="1" applyAlignment="1">
      <alignment horizontal="right"/>
    </xf>
    <xf numFmtId="3" fontId="30" fillId="0" borderId="11" xfId="207" applyNumberFormat="1" applyFont="1" applyBorder="1" applyAlignment="1">
      <alignment horizontal="left"/>
    </xf>
    <xf numFmtId="3" fontId="31" fillId="0" borderId="11" xfId="207" applyNumberFormat="1" applyFont="1" applyBorder="1" applyAlignment="1">
      <alignment horizontal="right"/>
    </xf>
    <xf numFmtId="3" fontId="30" fillId="0" borderId="11" xfId="207" applyNumberFormat="1" applyFont="1" applyBorder="1" applyAlignment="1">
      <alignment horizontal="right"/>
    </xf>
    <xf numFmtId="3" fontId="25" fillId="0" borderId="11" xfId="207" applyNumberFormat="1" applyFont="1" applyBorder="1" applyAlignment="1">
      <alignment horizontal="left" wrapText="1"/>
    </xf>
    <xf numFmtId="3" fontId="25" fillId="0" borderId="11" xfId="207" applyNumberFormat="1" applyFont="1" applyBorder="1" applyAlignment="1">
      <alignment horizontal="right"/>
    </xf>
    <xf numFmtId="3" fontId="30" fillId="0" borderId="11" xfId="207" applyNumberFormat="1" applyFont="1" applyBorder="1" applyAlignment="1">
      <alignment horizontal="left" wrapText="1"/>
    </xf>
    <xf numFmtId="3" fontId="31" fillId="0" borderId="11" xfId="207" applyNumberFormat="1" applyFont="1" applyBorder="1" applyAlignment="1">
      <alignment horizontal="right" wrapText="1"/>
    </xf>
    <xf numFmtId="3" fontId="30" fillId="0" borderId="11" xfId="207" applyNumberFormat="1" applyFont="1" applyBorder="1" applyAlignment="1"/>
    <xf numFmtId="3" fontId="25" fillId="0" borderId="87" xfId="207" applyNumberFormat="1" applyFont="1" applyBorder="1" applyAlignment="1">
      <alignment horizontal="right"/>
    </xf>
    <xf numFmtId="3" fontId="30" fillId="0" borderId="10" xfId="207" applyNumberFormat="1" applyFont="1" applyBorder="1" applyAlignment="1">
      <alignment horizontal="right"/>
    </xf>
    <xf numFmtId="3" fontId="62" fillId="0" borderId="40" xfId="204" applyNumberFormat="1" applyFont="1" applyFill="1" applyBorder="1" applyAlignment="1">
      <alignment wrapText="1"/>
    </xf>
    <xf numFmtId="3" fontId="30" fillId="0" borderId="11" xfId="207" applyNumberFormat="1" applyFont="1" applyFill="1" applyBorder="1" applyAlignment="1">
      <alignment horizontal="right"/>
    </xf>
    <xf numFmtId="3" fontId="64" fillId="0" borderId="11" xfId="204" applyNumberFormat="1" applyFont="1" applyFill="1" applyBorder="1" applyAlignment="1">
      <alignment wrapText="1"/>
    </xf>
    <xf numFmtId="3" fontId="31" fillId="0" borderId="11" xfId="207" applyNumberFormat="1" applyFont="1" applyFill="1" applyBorder="1" applyAlignment="1">
      <alignment horizontal="right"/>
    </xf>
    <xf numFmtId="3" fontId="4" fillId="0" borderId="43" xfId="204" applyNumberFormat="1" applyFont="1" applyBorder="1" applyAlignment="1">
      <alignment wrapText="1"/>
    </xf>
    <xf numFmtId="3" fontId="4" fillId="0" borderId="21" xfId="204" applyNumberFormat="1" applyFont="1" applyBorder="1" applyAlignment="1">
      <alignment wrapText="1"/>
    </xf>
    <xf numFmtId="3" fontId="4" fillId="0" borderId="42" xfId="204" applyNumberFormat="1" applyFont="1" applyBorder="1" applyAlignment="1">
      <alignment wrapText="1"/>
    </xf>
    <xf numFmtId="3" fontId="4" fillId="0" borderId="11" xfId="204" applyNumberFormat="1" applyFont="1" applyBorder="1" applyAlignment="1">
      <alignment wrapText="1"/>
    </xf>
    <xf numFmtId="3" fontId="4" fillId="0" borderId="76" xfId="205" applyNumberFormat="1" applyFont="1" applyBorder="1"/>
    <xf numFmtId="3" fontId="4" fillId="0" borderId="77" xfId="205" applyNumberFormat="1" applyFont="1" applyBorder="1"/>
    <xf numFmtId="3" fontId="4" fillId="0" borderId="67" xfId="205" applyNumberFormat="1" applyFont="1" applyBorder="1"/>
    <xf numFmtId="3" fontId="4" fillId="0" borderId="23" xfId="205" applyNumberFormat="1" applyFont="1" applyBorder="1"/>
    <xf numFmtId="3" fontId="4" fillId="0" borderId="68" xfId="205" applyNumberFormat="1" applyFont="1" applyBorder="1"/>
    <xf numFmtId="3" fontId="4" fillId="0" borderId="25" xfId="205" applyNumberFormat="1" applyFont="1" applyBorder="1"/>
    <xf numFmtId="3" fontId="4" fillId="0" borderId="21" xfId="205" applyNumberFormat="1" applyFont="1" applyBorder="1"/>
    <xf numFmtId="3" fontId="4" fillId="25" borderId="67" xfId="205" applyNumberFormat="1" applyFont="1" applyFill="1" applyBorder="1"/>
    <xf numFmtId="0" fontId="4" fillId="0" borderId="102" xfId="204" applyFont="1" applyBorder="1" applyAlignment="1">
      <alignment wrapText="1"/>
    </xf>
    <xf numFmtId="3" fontId="4" fillId="0" borderId="102" xfId="204" applyNumberFormat="1" applyFont="1" applyBorder="1" applyAlignment="1">
      <alignment wrapText="1"/>
    </xf>
    <xf numFmtId="3" fontId="4" fillId="0" borderId="116" xfId="205" applyNumberFormat="1" applyFont="1" applyBorder="1"/>
    <xf numFmtId="3" fontId="4" fillId="0" borderId="28" xfId="205" applyNumberFormat="1" applyFont="1" applyBorder="1"/>
    <xf numFmtId="3" fontId="4" fillId="0" borderId="124" xfId="205" applyNumberFormat="1" applyFont="1" applyBorder="1"/>
    <xf numFmtId="3" fontId="4" fillId="0" borderId="15" xfId="205" applyNumberFormat="1" applyFont="1" applyBorder="1"/>
    <xf numFmtId="3" fontId="4" fillId="0" borderId="103" xfId="205" applyNumberFormat="1" applyFont="1" applyBorder="1"/>
    <xf numFmtId="3" fontId="6" fillId="25" borderId="38" xfId="205" applyNumberFormat="1" applyFont="1" applyFill="1" applyBorder="1"/>
    <xf numFmtId="0" fontId="6" fillId="0" borderId="15" xfId="205" applyFont="1" applyBorder="1"/>
    <xf numFmtId="3" fontId="6" fillId="0" borderId="28" xfId="205" applyNumberFormat="1" applyFont="1" applyBorder="1"/>
    <xf numFmtId="3" fontId="6" fillId="0" borderId="124" xfId="205" applyNumberFormat="1" applyFont="1" applyBorder="1"/>
    <xf numFmtId="3" fontId="30" fillId="0" borderId="125" xfId="179" applyNumberFormat="1" applyFont="1" applyFill="1" applyBorder="1"/>
    <xf numFmtId="3" fontId="0" fillId="0" borderId="19" xfId="0" applyNumberFormat="1" applyFill="1" applyBorder="1"/>
    <xf numFmtId="3" fontId="4" fillId="0" borderId="19" xfId="0" applyNumberFormat="1" applyFont="1" applyFill="1" applyBorder="1"/>
    <xf numFmtId="0" fontId="65" fillId="0" borderId="0" xfId="210" applyFont="1"/>
    <xf numFmtId="0" fontId="65" fillId="0" borderId="0" xfId="210" applyFont="1" applyAlignment="1">
      <alignment wrapText="1"/>
    </xf>
    <xf numFmtId="0" fontId="65" fillId="0" borderId="0" xfId="210" applyFont="1" applyFill="1" applyAlignment="1">
      <alignment wrapText="1"/>
    </xf>
    <xf numFmtId="0" fontId="66" fillId="0" borderId="0" xfId="210" applyFont="1" applyAlignment="1">
      <alignment horizontal="center"/>
    </xf>
    <xf numFmtId="0" fontId="66" fillId="0" borderId="0" xfId="210" applyFont="1"/>
    <xf numFmtId="0" fontId="66" fillId="0" borderId="37" xfId="210" applyFont="1" applyBorder="1" applyAlignment="1">
      <alignment horizontal="center" wrapText="1"/>
    </xf>
    <xf numFmtId="0" fontId="66" fillId="0" borderId="37" xfId="210" applyFont="1" applyBorder="1" applyAlignment="1">
      <alignment horizontal="center" vertical="center"/>
    </xf>
    <xf numFmtId="0" fontId="66" fillId="0" borderId="0" xfId="210" applyFont="1" applyAlignment="1">
      <alignment wrapText="1"/>
    </xf>
    <xf numFmtId="0" fontId="65" fillId="0" borderId="34" xfId="210" applyFont="1" applyBorder="1"/>
    <xf numFmtId="0" fontId="65" fillId="0" borderId="24" xfId="210" applyFont="1" applyFill="1" applyBorder="1" applyAlignment="1">
      <alignment wrapText="1"/>
    </xf>
    <xf numFmtId="0" fontId="65" fillId="0" borderId="38" xfId="210" applyFont="1" applyFill="1" applyBorder="1" applyAlignment="1">
      <alignment wrapText="1"/>
    </xf>
    <xf numFmtId="3" fontId="65" fillId="0" borderId="38" xfId="210" applyNumberFormat="1" applyFont="1" applyBorder="1"/>
    <xf numFmtId="3" fontId="65" fillId="0" borderId="24" xfId="210" applyNumberFormat="1" applyFont="1" applyBorder="1"/>
    <xf numFmtId="3" fontId="65" fillId="0" borderId="33" xfId="210" applyNumberFormat="1" applyFont="1" applyBorder="1"/>
    <xf numFmtId="3" fontId="65" fillId="0" borderId="60" xfId="210" applyNumberFormat="1" applyFont="1" applyBorder="1"/>
    <xf numFmtId="0" fontId="65" fillId="0" borderId="74" xfId="210" applyFont="1" applyBorder="1"/>
    <xf numFmtId="0" fontId="65" fillId="0" borderId="77" xfId="210" applyFont="1" applyFill="1" applyBorder="1" applyAlignment="1">
      <alignment wrapText="1"/>
    </xf>
    <xf numFmtId="3" fontId="65" fillId="0" borderId="76" xfId="210" applyNumberFormat="1" applyFont="1" applyBorder="1"/>
    <xf numFmtId="0" fontId="65" fillId="0" borderId="76" xfId="210" applyFont="1" applyFill="1" applyBorder="1" applyAlignment="1">
      <alignment wrapText="1"/>
    </xf>
    <xf numFmtId="0" fontId="66" fillId="0" borderId="37" xfId="210" applyFont="1" applyBorder="1"/>
    <xf numFmtId="0" fontId="66" fillId="0" borderId="37" xfId="210" applyFont="1" applyBorder="1" applyAlignment="1">
      <alignment wrapText="1"/>
    </xf>
    <xf numFmtId="0" fontId="66" fillId="0" borderId="37" xfId="210" applyFont="1" applyFill="1" applyBorder="1" applyAlignment="1">
      <alignment wrapText="1"/>
    </xf>
    <xf numFmtId="3" fontId="66" fillId="0" borderId="37" xfId="210" applyNumberFormat="1" applyFont="1" applyBorder="1"/>
    <xf numFmtId="0" fontId="67" fillId="0" borderId="0" xfId="210" applyFont="1" applyAlignment="1">
      <alignment wrapText="1"/>
    </xf>
    <xf numFmtId="0" fontId="67" fillId="0" borderId="0" xfId="210" applyFont="1" applyFill="1" applyAlignment="1">
      <alignment wrapText="1"/>
    </xf>
    <xf numFmtId="0" fontId="65" fillId="0" borderId="0" xfId="210" applyFont="1" applyAlignment="1"/>
    <xf numFmtId="0" fontId="37" fillId="0" borderId="89" xfId="175" applyFont="1" applyFill="1" applyBorder="1" applyAlignment="1">
      <alignment horizontal="right"/>
    </xf>
    <xf numFmtId="0" fontId="45" fillId="0" borderId="0" xfId="157" applyFont="1" applyFill="1"/>
    <xf numFmtId="3" fontId="0" fillId="0" borderId="68" xfId="0" applyNumberFormat="1" applyFill="1" applyBorder="1"/>
    <xf numFmtId="3" fontId="0" fillId="0" borderId="33" xfId="0" applyNumberFormat="1" applyFont="1" applyBorder="1"/>
    <xf numFmtId="0" fontId="6" fillId="0" borderId="33" xfId="198" applyFont="1" applyFill="1" applyBorder="1" applyAlignment="1">
      <alignment wrapText="1"/>
    </xf>
    <xf numFmtId="3" fontId="0" fillId="0" borderId="33" xfId="0" applyNumberFormat="1" applyFill="1" applyBorder="1" applyAlignment="1">
      <alignment wrapText="1"/>
    </xf>
    <xf numFmtId="3" fontId="55" fillId="0" borderId="92" xfId="205" applyNumberFormat="1" applyFont="1" applyBorder="1" applyAlignment="1">
      <alignment horizontal="center" vertical="center" wrapText="1"/>
    </xf>
    <xf numFmtId="3" fontId="55" fillId="0" borderId="45" xfId="205" applyNumberFormat="1" applyFont="1" applyBorder="1" applyAlignment="1">
      <alignment horizontal="center" vertical="center" wrapText="1"/>
    </xf>
    <xf numFmtId="3" fontId="65" fillId="0" borderId="76" xfId="210" applyNumberFormat="1" applyFont="1" applyFill="1" applyBorder="1"/>
    <xf numFmtId="3" fontId="65" fillId="0" borderId="24" xfId="210" applyNumberFormat="1" applyFont="1" applyFill="1" applyBorder="1"/>
    <xf numFmtId="3" fontId="65" fillId="0" borderId="33" xfId="210" applyNumberFormat="1" applyFont="1" applyFill="1" applyBorder="1"/>
    <xf numFmtId="3" fontId="65" fillId="0" borderId="60" xfId="210" applyNumberFormat="1" applyFont="1" applyFill="1" applyBorder="1"/>
    <xf numFmtId="0" fontId="65" fillId="0" borderId="0" xfId="210" applyFont="1" applyFill="1"/>
    <xf numFmtId="3" fontId="4" fillId="0" borderId="20" xfId="0" applyNumberFormat="1" applyFont="1" applyFill="1" applyBorder="1"/>
    <xf numFmtId="3" fontId="0" fillId="0" borderId="67" xfId="0" applyNumberFormat="1" applyFill="1" applyBorder="1"/>
    <xf numFmtId="4" fontId="31" fillId="0" borderId="21" xfId="158" applyNumberFormat="1" applyFont="1" applyBorder="1" applyAlignment="1">
      <alignment horizontal="center"/>
    </xf>
    <xf numFmtId="0" fontId="4" fillId="0" borderId="87" xfId="205" applyFont="1" applyBorder="1"/>
    <xf numFmtId="3" fontId="4" fillId="0" borderId="0" xfId="205" applyNumberFormat="1" applyFont="1" applyBorder="1"/>
    <xf numFmtId="3" fontId="4" fillId="0" borderId="67" xfId="205" applyNumberFormat="1" applyFont="1" applyFill="1" applyBorder="1"/>
    <xf numFmtId="3" fontId="4" fillId="0" borderId="23" xfId="205" applyNumberFormat="1" applyFont="1" applyFill="1" applyBorder="1"/>
    <xf numFmtId="3" fontId="51" fillId="25" borderId="15" xfId="205" applyNumberFormat="1" applyFont="1" applyFill="1" applyBorder="1"/>
    <xf numFmtId="0" fontId="8" fillId="0" borderId="0" xfId="159"/>
    <xf numFmtId="3" fontId="30" fillId="0" borderId="40" xfId="207" applyNumberFormat="1" applyFont="1" applyBorder="1" applyAlignment="1">
      <alignment horizontal="left"/>
    </xf>
    <xf numFmtId="0" fontId="61" fillId="0" borderId="22" xfId="0" applyFont="1" applyFill="1" applyBorder="1" applyAlignment="1">
      <alignment wrapText="1"/>
    </xf>
    <xf numFmtId="3" fontId="0" fillId="0" borderId="34" xfId="0" applyNumberFormat="1" applyFill="1" applyBorder="1"/>
    <xf numFmtId="3" fontId="0" fillId="0" borderId="23" xfId="0" applyNumberFormat="1" applyFont="1" applyFill="1" applyBorder="1"/>
    <xf numFmtId="3" fontId="0" fillId="0" borderId="68" xfId="0" applyNumberFormat="1" applyFont="1" applyFill="1" applyBorder="1"/>
    <xf numFmtId="3" fontId="0" fillId="0" borderId="33" xfId="0" applyNumberFormat="1" applyFont="1" applyFill="1" applyBorder="1" applyAlignment="1">
      <alignment wrapText="1"/>
    </xf>
    <xf numFmtId="3" fontId="25" fillId="0" borderId="11" xfId="207" applyNumberFormat="1" applyFont="1" applyFill="1" applyBorder="1" applyAlignment="1">
      <alignment horizontal="right"/>
    </xf>
    <xf numFmtId="3" fontId="5" fillId="0" borderId="39" xfId="176" applyNumberFormat="1" applyFont="1" applyBorder="1" applyAlignment="1">
      <alignment horizontal="center"/>
    </xf>
    <xf numFmtId="3" fontId="5" fillId="0" borderId="84" xfId="176" applyNumberFormat="1" applyFont="1" applyBorder="1" applyAlignment="1">
      <alignment horizontal="center"/>
    </xf>
    <xf numFmtId="3" fontId="5" fillId="0" borderId="14" xfId="176" applyNumberFormat="1" applyFont="1" applyBorder="1" applyAlignment="1">
      <alignment horizontal="center"/>
    </xf>
    <xf numFmtId="3" fontId="5" fillId="0" borderId="39" xfId="176" applyNumberFormat="1" applyFont="1" applyBorder="1" applyAlignment="1">
      <alignment horizontal="center" wrapText="1"/>
    </xf>
    <xf numFmtId="3" fontId="5" fillId="0" borderId="84" xfId="176" applyNumberFormat="1" applyFont="1" applyBorder="1" applyAlignment="1">
      <alignment horizontal="center" wrapText="1"/>
    </xf>
    <xf numFmtId="3" fontId="5" fillId="0" borderId="14" xfId="176" applyNumberFormat="1" applyFont="1" applyBorder="1" applyAlignment="1">
      <alignment horizontal="center" wrapText="1"/>
    </xf>
    <xf numFmtId="3" fontId="5" fillId="0" borderId="10" xfId="176" applyNumberFormat="1" applyFont="1" applyBorder="1" applyAlignment="1">
      <alignment horizontal="center" wrapText="1"/>
    </xf>
    <xf numFmtId="3" fontId="5" fillId="0" borderId="39" xfId="176" applyNumberFormat="1" applyFont="1" applyFill="1" applyBorder="1" applyAlignment="1">
      <alignment horizontal="center" wrapText="1"/>
    </xf>
    <xf numFmtId="3" fontId="5" fillId="0" borderId="84" xfId="176" applyNumberFormat="1" applyFont="1" applyFill="1" applyBorder="1" applyAlignment="1">
      <alignment horizontal="center" wrapText="1"/>
    </xf>
    <xf numFmtId="3" fontId="5" fillId="0" borderId="14" xfId="176" applyNumberFormat="1" applyFont="1" applyFill="1" applyBorder="1" applyAlignment="1">
      <alignment horizontal="center" wrapText="1"/>
    </xf>
    <xf numFmtId="3" fontId="5" fillId="0" borderId="10" xfId="176" applyNumberFormat="1" applyFont="1" applyBorder="1" applyAlignment="1">
      <alignment horizontal="center"/>
    </xf>
    <xf numFmtId="0" fontId="30" fillId="0" borderId="0" xfId="172" applyFont="1" applyAlignment="1">
      <alignment horizontal="center"/>
    </xf>
    <xf numFmtId="0" fontId="5" fillId="0" borderId="0" xfId="171" applyFont="1" applyAlignment="1">
      <alignment horizontal="center"/>
    </xf>
    <xf numFmtId="3" fontId="34" fillId="0" borderId="39" xfId="171" applyNumberFormat="1" applyFont="1" applyBorder="1" applyAlignment="1">
      <alignment horizontal="center" wrapText="1"/>
    </xf>
    <xf numFmtId="3" fontId="34" fillId="0" borderId="84" xfId="171" applyNumberFormat="1" applyFont="1" applyBorder="1" applyAlignment="1">
      <alignment horizontal="center" wrapText="1"/>
    </xf>
    <xf numFmtId="3" fontId="34" fillId="0" borderId="14" xfId="171" applyNumberFormat="1" applyFont="1" applyBorder="1" applyAlignment="1">
      <alignment horizontal="center" wrapText="1"/>
    </xf>
    <xf numFmtId="3" fontId="34" fillId="0" borderId="10" xfId="171" applyNumberFormat="1" applyFont="1" applyBorder="1" applyAlignment="1">
      <alignment horizontal="center"/>
    </xf>
    <xf numFmtId="3" fontId="34" fillId="0" borderId="10" xfId="171" applyNumberFormat="1" applyFont="1" applyBorder="1" applyAlignment="1">
      <alignment horizontal="center" wrapText="1"/>
    </xf>
    <xf numFmtId="0" fontId="34" fillId="0" borderId="91" xfId="176" applyFont="1" applyBorder="1" applyAlignment="1">
      <alignment horizontal="center" wrapText="1"/>
    </xf>
    <xf numFmtId="0" fontId="34" fillId="0" borderId="44" xfId="176" applyFont="1" applyBorder="1" applyAlignment="1">
      <alignment horizontal="center" wrapText="1"/>
    </xf>
    <xf numFmtId="0" fontId="34" fillId="0" borderId="91" xfId="171" applyFont="1" applyBorder="1" applyAlignment="1">
      <alignment horizontal="center" wrapText="1"/>
    </xf>
    <xf numFmtId="0" fontId="34" fillId="0" borderId="44" xfId="171" applyFont="1" applyBorder="1" applyAlignment="1">
      <alignment horizontal="center" wrapText="1"/>
    </xf>
    <xf numFmtId="3" fontId="34" fillId="0" borderId="39" xfId="171" applyNumberFormat="1" applyFont="1" applyBorder="1" applyAlignment="1">
      <alignment horizontal="center"/>
    </xf>
    <xf numFmtId="3" fontId="34" fillId="0" borderId="84" xfId="171" applyNumberFormat="1" applyFont="1" applyBorder="1" applyAlignment="1">
      <alignment horizontal="center"/>
    </xf>
    <xf numFmtId="3" fontId="34" fillId="0" borderId="14" xfId="171" applyNumberFormat="1" applyFont="1" applyBorder="1" applyAlignment="1">
      <alignment horizontal="center"/>
    </xf>
    <xf numFmtId="3" fontId="3" fillId="0" borderId="92" xfId="203" applyNumberFormat="1" applyBorder="1" applyAlignment="1">
      <alignment horizontal="right"/>
    </xf>
    <xf numFmtId="3" fontId="3" fillId="0" borderId="105" xfId="203" applyNumberFormat="1" applyBorder="1" applyAlignment="1">
      <alignment horizontal="right"/>
    </xf>
    <xf numFmtId="3" fontId="3" fillId="0" borderId="100" xfId="203" applyNumberFormat="1" applyBorder="1" applyAlignment="1">
      <alignment horizontal="right"/>
    </xf>
    <xf numFmtId="3" fontId="55" fillId="0" borderId="92" xfId="205" applyNumberFormat="1" applyFont="1" applyBorder="1" applyAlignment="1">
      <alignment horizontal="center" vertical="center" wrapText="1"/>
    </xf>
    <xf numFmtId="3" fontId="55" fillId="0" borderId="100" xfId="205" applyNumberFormat="1" applyFont="1" applyBorder="1" applyAlignment="1">
      <alignment horizontal="center" vertical="center" wrapText="1"/>
    </xf>
    <xf numFmtId="3" fontId="57" fillId="0" borderId="64" xfId="205" applyNumberFormat="1" applyFont="1" applyBorder="1" applyAlignment="1">
      <alignment horizontal="center"/>
    </xf>
    <xf numFmtId="3" fontId="57" fillId="0" borderId="65" xfId="205" applyNumberFormat="1" applyFont="1" applyBorder="1" applyAlignment="1">
      <alignment horizontal="center"/>
    </xf>
    <xf numFmtId="3" fontId="55" fillId="0" borderId="104" xfId="205" applyNumberFormat="1" applyFont="1" applyBorder="1" applyAlignment="1">
      <alignment horizontal="center" vertical="center" wrapText="1"/>
    </xf>
    <xf numFmtId="3" fontId="55" fillId="0" borderId="45" xfId="205" applyNumberFormat="1" applyFont="1" applyBorder="1" applyAlignment="1">
      <alignment horizontal="center" vertical="center" wrapText="1"/>
    </xf>
    <xf numFmtId="3" fontId="53" fillId="0" borderId="39" xfId="205" applyNumberFormat="1" applyFont="1" applyBorder="1" applyAlignment="1">
      <alignment horizontal="center"/>
    </xf>
    <xf numFmtId="3" fontId="53" fillId="0" borderId="14" xfId="205" applyNumberFormat="1" applyFont="1" applyBorder="1" applyAlignment="1">
      <alignment horizontal="center"/>
    </xf>
    <xf numFmtId="0" fontId="5" fillId="0" borderId="0" xfId="201" applyFont="1" applyAlignment="1">
      <alignment horizontal="center"/>
    </xf>
    <xf numFmtId="0" fontId="49" fillId="0" borderId="0" xfId="159" applyFont="1" applyAlignment="1">
      <alignment horizontal="center" wrapText="1"/>
    </xf>
    <xf numFmtId="0" fontId="0" fillId="0" borderId="0" xfId="0" applyAlignment="1">
      <alignment horizontal="center"/>
    </xf>
    <xf numFmtId="2" fontId="30" fillId="0" borderId="39" xfId="207" applyNumberFormat="1" applyFont="1" applyBorder="1" applyAlignment="1">
      <alignment horizontal="center" wrapText="1"/>
    </xf>
    <xf numFmtId="2" fontId="30" fillId="0" borderId="84" xfId="207" applyNumberFormat="1" applyFont="1" applyBorder="1" applyAlignment="1">
      <alignment horizontal="center" wrapText="1"/>
    </xf>
    <xf numFmtId="2" fontId="30" fillId="0" borderId="14" xfId="207" applyNumberFormat="1" applyFont="1" applyBorder="1" applyAlignment="1">
      <alignment horizontal="center" wrapText="1"/>
    </xf>
    <xf numFmtId="3" fontId="30" fillId="0" borderId="0" xfId="207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30" fillId="0" borderId="0" xfId="157" applyFont="1" applyAlignment="1">
      <alignment horizontal="center"/>
    </xf>
    <xf numFmtId="0" fontId="30" fillId="0" borderId="0" xfId="180" applyFont="1" applyFill="1" applyBorder="1" applyAlignment="1">
      <alignment horizontal="center"/>
    </xf>
    <xf numFmtId="0" fontId="30" fillId="0" borderId="0" xfId="199" applyFont="1" applyFill="1" applyBorder="1" applyAlignment="1">
      <alignment horizontal="center" wrapText="1"/>
    </xf>
    <xf numFmtId="0" fontId="30" fillId="0" borderId="88" xfId="200" applyFont="1" applyFill="1" applyBorder="1" applyAlignment="1">
      <alignment horizontal="center" wrapText="1"/>
    </xf>
    <xf numFmtId="0" fontId="30" fillId="0" borderId="113" xfId="200" applyFont="1" applyFill="1" applyBorder="1" applyAlignment="1">
      <alignment horizontal="center" wrapText="1"/>
    </xf>
    <xf numFmtId="0" fontId="30" fillId="0" borderId="97" xfId="200" applyFont="1" applyFill="1" applyBorder="1" applyAlignment="1">
      <alignment horizontal="center" wrapText="1"/>
    </xf>
    <xf numFmtId="0" fontId="30" fillId="0" borderId="89" xfId="201" applyFont="1" applyFill="1" applyBorder="1" applyAlignment="1">
      <alignment horizontal="left" wrapText="1"/>
    </xf>
    <xf numFmtId="0" fontId="30" fillId="0" borderId="98" xfId="201" applyFont="1" applyFill="1" applyBorder="1" applyAlignment="1">
      <alignment horizontal="left" wrapText="1"/>
    </xf>
    <xf numFmtId="0" fontId="30" fillId="0" borderId="37" xfId="201" applyFont="1" applyFill="1" applyBorder="1" applyAlignment="1">
      <alignment horizontal="center" wrapText="1"/>
    </xf>
    <xf numFmtId="3" fontId="5" fillId="0" borderId="0" xfId="174" applyNumberFormat="1" applyFont="1" applyFill="1" applyAlignment="1">
      <alignment horizontal="center" wrapText="1"/>
    </xf>
    <xf numFmtId="3" fontId="36" fillId="24" borderId="10" xfId="174" applyNumberFormat="1" applyFont="1" applyFill="1" applyBorder="1" applyAlignment="1">
      <alignment horizontal="center" wrapText="1"/>
    </xf>
    <xf numFmtId="0" fontId="37" fillId="0" borderId="91" xfId="174" applyFont="1" applyFill="1" applyBorder="1" applyAlignment="1">
      <alignment horizontal="center" wrapText="1"/>
    </xf>
    <xf numFmtId="0" fontId="37" fillId="0" borderId="87" xfId="174" applyFont="1" applyFill="1" applyBorder="1" applyAlignment="1">
      <alignment horizontal="center" wrapText="1"/>
    </xf>
    <xf numFmtId="0" fontId="37" fillId="0" borderId="44" xfId="174" applyFont="1" applyFill="1" applyBorder="1" applyAlignment="1">
      <alignment horizontal="center" wrapText="1"/>
    </xf>
    <xf numFmtId="0" fontId="36" fillId="0" borderId="91" xfId="174" applyFont="1" applyFill="1" applyBorder="1" applyAlignment="1">
      <alignment horizontal="center" wrapText="1"/>
    </xf>
    <xf numFmtId="0" fontId="36" fillId="0" borderId="87" xfId="174" applyFont="1" applyFill="1" applyBorder="1" applyAlignment="1">
      <alignment horizontal="center" wrapText="1"/>
    </xf>
    <xf numFmtId="0" fontId="36" fillId="0" borderId="44" xfId="174" applyFont="1" applyFill="1" applyBorder="1" applyAlignment="1">
      <alignment horizontal="center" wrapText="1"/>
    </xf>
    <xf numFmtId="3" fontId="5" fillId="24" borderId="10" xfId="174" applyNumberFormat="1" applyFont="1" applyFill="1" applyBorder="1" applyAlignment="1">
      <alignment horizontal="center" wrapText="1"/>
    </xf>
    <xf numFmtId="0" fontId="30" fillId="0" borderId="0" xfId="179" applyFont="1" applyFill="1" applyAlignment="1">
      <alignment horizontal="center"/>
    </xf>
    <xf numFmtId="0" fontId="66" fillId="0" borderId="37" xfId="210" applyFont="1" applyBorder="1" applyAlignment="1">
      <alignment horizontal="center"/>
    </xf>
    <xf numFmtId="0" fontId="66" fillId="0" borderId="37" xfId="210" applyFont="1" applyBorder="1" applyAlignment="1">
      <alignment horizontal="center" wrapText="1"/>
    </xf>
    <xf numFmtId="0" fontId="32" fillId="0" borderId="0" xfId="210" applyFont="1" applyAlignment="1">
      <alignment horizontal="center"/>
    </xf>
    <xf numFmtId="0" fontId="66" fillId="0" borderId="92" xfId="210" applyFont="1" applyBorder="1" applyAlignment="1">
      <alignment horizontal="center" vertical="center"/>
    </xf>
    <xf numFmtId="0" fontId="65" fillId="0" borderId="105" xfId="210" applyFont="1" applyBorder="1" applyAlignment="1">
      <alignment vertical="center"/>
    </xf>
    <xf numFmtId="0" fontId="65" fillId="0" borderId="100" xfId="210" applyFont="1" applyBorder="1" applyAlignment="1">
      <alignment vertical="center"/>
    </xf>
    <xf numFmtId="0" fontId="66" fillId="0" borderId="92" xfId="210" applyFont="1" applyBorder="1" applyAlignment="1">
      <alignment horizontal="center" vertical="center" wrapText="1"/>
    </xf>
    <xf numFmtId="0" fontId="65" fillId="0" borderId="105" xfId="210" applyFont="1" applyBorder="1" applyAlignment="1">
      <alignment vertical="center" wrapText="1"/>
    </xf>
    <xf numFmtId="0" fontId="65" fillId="0" borderId="100" xfId="210" applyFont="1" applyBorder="1" applyAlignment="1">
      <alignment vertical="center" wrapText="1"/>
    </xf>
    <xf numFmtId="0" fontId="66" fillId="0" borderId="92" xfId="210" applyFont="1" applyFill="1" applyBorder="1" applyAlignment="1">
      <alignment horizontal="center" vertical="center" wrapText="1"/>
    </xf>
    <xf numFmtId="0" fontId="66" fillId="0" borderId="105" xfId="210" applyFont="1" applyFill="1" applyBorder="1" applyAlignment="1">
      <alignment horizontal="center" vertical="center" wrapText="1"/>
    </xf>
    <xf numFmtId="0" fontId="66" fillId="0" borderId="100" xfId="210" applyFont="1" applyFill="1" applyBorder="1" applyAlignment="1">
      <alignment horizontal="center" vertical="center" wrapText="1"/>
    </xf>
  </cellXfs>
  <cellStyles count="212">
    <cellStyle name="20% - 1. jelölőszín" xfId="1" builtinId="30" customBuiltin="1"/>
    <cellStyle name="20% - 1. jelölőszín 2" xfId="2"/>
    <cellStyle name="20% - 1. jelölőszín 3" xfId="3"/>
    <cellStyle name="20% - 2. jelölőszín" xfId="4" builtinId="34" customBuiltin="1"/>
    <cellStyle name="20% - 2. jelölőszín 2" xfId="5"/>
    <cellStyle name="20% - 2. jelölőszín 3" xfId="6"/>
    <cellStyle name="20% - 3. jelölőszín" xfId="7" builtinId="38" customBuiltin="1"/>
    <cellStyle name="20% - 3. jelölőszín 2" xfId="8"/>
    <cellStyle name="20% - 3. jelölőszín 3" xfId="9"/>
    <cellStyle name="20% - 4. jelölőszín" xfId="10" builtinId="42" customBuiltin="1"/>
    <cellStyle name="20% - 4. jelölőszín 2" xfId="11"/>
    <cellStyle name="20% - 4. jelölőszín 3" xfId="12"/>
    <cellStyle name="20% - 5. jelölőszín" xfId="13" builtinId="46" customBuiltin="1"/>
    <cellStyle name="20% - 5. jelölőszín 2" xfId="14"/>
    <cellStyle name="20% - 5. jelölőszín 3" xfId="15"/>
    <cellStyle name="20% - 6. jelölőszín" xfId="16" builtinId="50" customBuiltin="1"/>
    <cellStyle name="20% - 6. jelölőszín 2" xfId="17"/>
    <cellStyle name="20% - 6. jelölőszín 3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40% - 1. jelölőszín" xfId="25" builtinId="31" customBuiltin="1"/>
    <cellStyle name="40% - 1. jelölőszín 2" xfId="26"/>
    <cellStyle name="40% - 1. jelölőszín 3" xfId="27"/>
    <cellStyle name="40% - 2. jelölőszín" xfId="28" builtinId="35" customBuiltin="1"/>
    <cellStyle name="40% - 2. jelölőszín 2" xfId="29"/>
    <cellStyle name="40% - 2. jelölőszín 3" xfId="30"/>
    <cellStyle name="40% - 3. jelölőszín" xfId="31" builtinId="39" customBuiltin="1"/>
    <cellStyle name="40% - 3. jelölőszín 2" xfId="32"/>
    <cellStyle name="40% - 3. jelölőszín 3" xfId="33"/>
    <cellStyle name="40% - 4. jelölőszín" xfId="34" builtinId="43" customBuiltin="1"/>
    <cellStyle name="40% - 4. jelölőszín 2" xfId="35"/>
    <cellStyle name="40% - 4. jelölőszín 3" xfId="36"/>
    <cellStyle name="40% - 5. jelölőszín" xfId="37" builtinId="47" customBuiltin="1"/>
    <cellStyle name="40% - 5. jelölőszín 2" xfId="38"/>
    <cellStyle name="40% - 5. jelölőszín 3" xfId="39"/>
    <cellStyle name="40% - 6. jelölőszín" xfId="40" builtinId="51" customBuiltin="1"/>
    <cellStyle name="40% - 6. jelölőszín 2" xfId="41"/>
    <cellStyle name="40% - 6. jelölőszín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60% - 1. jelölőszín" xfId="49" builtinId="32" customBuiltin="1"/>
    <cellStyle name="60% - 1. jelölőszín 2" xfId="50"/>
    <cellStyle name="60% - 1. jelölőszín 3" xfId="51"/>
    <cellStyle name="60% - 2. jelölőszín" xfId="52" builtinId="36" customBuiltin="1"/>
    <cellStyle name="60% - 2. jelölőszín 2" xfId="53"/>
    <cellStyle name="60% - 2. jelölőszín 3" xfId="54"/>
    <cellStyle name="60% - 3. jelölőszín" xfId="55" builtinId="40" customBuiltin="1"/>
    <cellStyle name="60% - 3. jelölőszín 2" xfId="56"/>
    <cellStyle name="60% - 3. jelölőszín 3" xfId="57"/>
    <cellStyle name="60% - 4. jelölőszín" xfId="58" builtinId="44" customBuiltin="1"/>
    <cellStyle name="60% - 4. jelölőszín 2" xfId="59"/>
    <cellStyle name="60% - 4. jelölőszín 3" xfId="60"/>
    <cellStyle name="60% - 5. jelölőszín" xfId="61" builtinId="48" customBuiltin="1"/>
    <cellStyle name="60% - 5. jelölőszín 2" xfId="62"/>
    <cellStyle name="60% - 5. jelölőszín 3" xfId="63"/>
    <cellStyle name="60% - 6. jelölőszín" xfId="64" builtinId="52" customBuiltin="1"/>
    <cellStyle name="60% - 6. jelölőszín 2" xfId="65"/>
    <cellStyle name="60% - 6. jelölőszín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73"/>
    <cellStyle name="Accent2" xfId="74"/>
    <cellStyle name="Accent3" xfId="75"/>
    <cellStyle name="Accent4" xfId="76"/>
    <cellStyle name="Accent5" xfId="77"/>
    <cellStyle name="Accent6" xfId="78"/>
    <cellStyle name="Bad" xfId="79"/>
    <cellStyle name="Bevitel" xfId="80" builtinId="20" customBuiltin="1"/>
    <cellStyle name="Bevitel 2" xfId="81"/>
    <cellStyle name="Bevitel 3" xfId="82"/>
    <cellStyle name="Calculation" xfId="83"/>
    <cellStyle name="Check Cell" xfId="84"/>
    <cellStyle name="Cím" xfId="85" builtinId="15" customBuiltin="1"/>
    <cellStyle name="Cím 2" xfId="86"/>
    <cellStyle name="Cím 3" xfId="87"/>
    <cellStyle name="Címsor 1" xfId="88" builtinId="16" customBuiltin="1"/>
    <cellStyle name="Címsor 1 2" xfId="89"/>
    <cellStyle name="Címsor 1 3" xfId="90"/>
    <cellStyle name="Címsor 2" xfId="91" builtinId="17" customBuiltin="1"/>
    <cellStyle name="Címsor 2 2" xfId="92"/>
    <cellStyle name="Címsor 2 3" xfId="93"/>
    <cellStyle name="Címsor 3" xfId="94" builtinId="18" customBuiltin="1"/>
    <cellStyle name="Címsor 3 2" xfId="95"/>
    <cellStyle name="Címsor 3 3" xfId="96"/>
    <cellStyle name="Címsor 4" xfId="97" builtinId="19" customBuiltin="1"/>
    <cellStyle name="Címsor 4 2" xfId="98"/>
    <cellStyle name="Címsor 4 3" xfId="99"/>
    <cellStyle name="Ellenőrzőcella" xfId="100" builtinId="23" customBuiltin="1"/>
    <cellStyle name="Ellenőrzőcella 2" xfId="101"/>
    <cellStyle name="Ellenőrzőcella 3" xfId="102"/>
    <cellStyle name="Explanatory Text" xfId="103"/>
    <cellStyle name="Ezres 2" xfId="104"/>
    <cellStyle name="Ezres 2 2" xfId="202"/>
    <cellStyle name="Ezres 3" xfId="105"/>
    <cellStyle name="Ezres 3 2" xfId="206"/>
    <cellStyle name="Figyelmeztetés" xfId="106" builtinId="11" customBuiltin="1"/>
    <cellStyle name="Figyelmeztetés 2" xfId="107"/>
    <cellStyle name="Figyelmeztetés 3" xfId="108"/>
    <cellStyle name="Good" xfId="109"/>
    <cellStyle name="Heading 1" xfId="110"/>
    <cellStyle name="Heading 2" xfId="111"/>
    <cellStyle name="Heading 3" xfId="112"/>
    <cellStyle name="Heading 4" xfId="113"/>
    <cellStyle name="Hivatkozott cella" xfId="114" builtinId="24" customBuiltin="1"/>
    <cellStyle name="Hivatkozott cella 2" xfId="115"/>
    <cellStyle name="Hivatkozott cella 3" xfId="116"/>
    <cellStyle name="Input" xfId="117"/>
    <cellStyle name="Jegyzet" xfId="118" builtinId="10" customBuiltin="1"/>
    <cellStyle name="Jegyzet 2" xfId="119"/>
    <cellStyle name="Jegyzet 3" xfId="120"/>
    <cellStyle name="Jegyzet 4" xfId="121"/>
    <cellStyle name="Jelölőszín (1)" xfId="122" builtinId="29" customBuiltin="1"/>
    <cellStyle name="Jelölőszín (1) 2" xfId="123"/>
    <cellStyle name="Jelölőszín (1) 3" xfId="124"/>
    <cellStyle name="Jelölőszín (2)" xfId="125" builtinId="33" customBuiltin="1"/>
    <cellStyle name="Jelölőszín (2) 2" xfId="126"/>
    <cellStyle name="Jelölőszín (2) 3" xfId="127"/>
    <cellStyle name="Jelölőszín (3)" xfId="128" builtinId="37" customBuiltin="1"/>
    <cellStyle name="Jelölőszín (3) 2" xfId="129"/>
    <cellStyle name="Jelölőszín (3) 3" xfId="130"/>
    <cellStyle name="Jelölőszín (4)" xfId="131" builtinId="41" customBuiltin="1"/>
    <cellStyle name="Jelölőszín (4) 2" xfId="132"/>
    <cellStyle name="Jelölőszín (4) 3" xfId="133"/>
    <cellStyle name="Jelölőszín (5)" xfId="134" builtinId="45" customBuiltin="1"/>
    <cellStyle name="Jelölőszín (5) 2" xfId="135"/>
    <cellStyle name="Jelölőszín (5) 3" xfId="136"/>
    <cellStyle name="Jelölőszín (6)" xfId="137" builtinId="49" customBuiltin="1"/>
    <cellStyle name="Jelölőszín (6) 2" xfId="138"/>
    <cellStyle name="Jelölőszín (6) 3" xfId="139"/>
    <cellStyle name="Jó" xfId="140" builtinId="26" customBuiltin="1"/>
    <cellStyle name="Jó 2" xfId="141"/>
    <cellStyle name="Jó 3" xfId="142"/>
    <cellStyle name="Kimenet" xfId="143" builtinId="21" customBuiltin="1"/>
    <cellStyle name="Kimenet 2" xfId="144"/>
    <cellStyle name="Kimenet 3" xfId="145"/>
    <cellStyle name="Linked Cell" xfId="146"/>
    <cellStyle name="Magyarázó szöveg" xfId="147" builtinId="53" customBuiltin="1"/>
    <cellStyle name="Magyarázó szöveg 2" xfId="148"/>
    <cellStyle name="Magyarázó szöveg 3" xfId="149"/>
    <cellStyle name="Neutral" xfId="150"/>
    <cellStyle name="Normál" xfId="0" builtinId="0"/>
    <cellStyle name="Normál 10" xfId="151"/>
    <cellStyle name="Normál 11" xfId="203"/>
    <cellStyle name="Normál 11 2" xfId="211"/>
    <cellStyle name="Normál 2" xfId="152"/>
    <cellStyle name="Normál 2 2" xfId="153"/>
    <cellStyle name="Normál 2 3" xfId="154"/>
    <cellStyle name="Normál 2 4" xfId="155"/>
    <cellStyle name="Normál 2 5" xfId="201"/>
    <cellStyle name="Normál 2_11.sz.melléklet_többéves" xfId="156"/>
    <cellStyle name="Normál 3" xfId="157"/>
    <cellStyle name="Normál 3 2" xfId="158"/>
    <cellStyle name="Normál 3 2 2" xfId="159"/>
    <cellStyle name="Normál 3 2 2 2" xfId="209"/>
    <cellStyle name="Normál 3 2 3" xfId="208"/>
    <cellStyle name="Normál 4" xfId="160"/>
    <cellStyle name="Normál 5" xfId="161"/>
    <cellStyle name="Normál 5 2" xfId="162"/>
    <cellStyle name="Normál 5 2 2" xfId="163"/>
    <cellStyle name="Normál 5 3" xfId="164"/>
    <cellStyle name="Normál 5_11.sz.melléklet_többéves" xfId="165"/>
    <cellStyle name="Normál 6" xfId="166"/>
    <cellStyle name="Normál 6 2" xfId="167"/>
    <cellStyle name="Normál 7" xfId="168"/>
    <cellStyle name="Normál 8" xfId="169"/>
    <cellStyle name="Normál 9" xfId="170"/>
    <cellStyle name="Normál_2001bev jó" xfId="207"/>
    <cellStyle name="Normál_2003év kiadás" xfId="171"/>
    <cellStyle name="Normál_2003költségvet" xfId="172"/>
    <cellStyle name="Normál_2003ktvmod2fin" xfId="173"/>
    <cellStyle name="Normál_2006 költségv 2" xfId="210"/>
    <cellStyle name="Normál_2007éviintézmény0124szelektált 2" xfId="199"/>
    <cellStyle name="Normál_2009éviköltségvetés-Móricz Károly 2" xfId="174"/>
    <cellStyle name="Normál_37-2010. évi III.rendmód 2" xfId="175"/>
    <cellStyle name="Normál_37-2010. évi III.rendmód 2 2" xfId="200"/>
    <cellStyle name="Normál_37-2010. évi III.rendmód_4. sz. melléklet 2" xfId="198"/>
    <cellStyle name="Normál_bevétel_bevétel_1" xfId="176"/>
    <cellStyle name="Normál_bevétel_bevétel_1 2" xfId="177"/>
    <cellStyle name="Normál_bevétel_bevétel_1 2 2" xfId="178"/>
    <cellStyle name="Normál_finansz.2004" xfId="179"/>
    <cellStyle name="Normál_kiadás_1_2005aprilisrendmod" xfId="204"/>
    <cellStyle name="Normál_kötelezettségváll 2009-ra" xfId="180"/>
    <cellStyle name="Normál_Munka2 (2)_1_2005aprilisrendmod" xfId="205"/>
    <cellStyle name="Note" xfId="181"/>
    <cellStyle name="Output" xfId="182"/>
    <cellStyle name="Összesen" xfId="183" builtinId="25" customBuiltin="1"/>
    <cellStyle name="Összesen 2" xfId="184"/>
    <cellStyle name="Összesen 3" xfId="185"/>
    <cellStyle name="Rossz" xfId="186" builtinId="27" customBuiltin="1"/>
    <cellStyle name="Rossz 2" xfId="187"/>
    <cellStyle name="Rossz 3" xfId="188"/>
    <cellStyle name="Semleges" xfId="189" builtinId="28" customBuiltin="1"/>
    <cellStyle name="Semleges 2" xfId="190"/>
    <cellStyle name="Semleges 3" xfId="191"/>
    <cellStyle name="Számítás" xfId="192" builtinId="22" customBuiltin="1"/>
    <cellStyle name="Számítás 2" xfId="193"/>
    <cellStyle name="Számítás 3" xfId="194"/>
    <cellStyle name="Title" xfId="195"/>
    <cellStyle name="Total" xfId="196"/>
    <cellStyle name="Warning Text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&#246;lts&#233;gvet&#233;s\2012\Rendeletm&#243;dos&#237;t&#225;s\Decemberi%20rendeletm&#243;dos&#237;t&#225;s\Test&#252;leti\USER\KISARINE\USER\KAISER\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52"/>
  <sheetViews>
    <sheetView zoomScaleNormal="100" workbookViewId="0">
      <pane xSplit="2" ySplit="8" topLeftCell="C63" activePane="bottomRight" state="frozen"/>
      <selection activeCell="L12" sqref="L12"/>
      <selection pane="topRight" activeCell="L12" sqref="L12"/>
      <selection pane="bottomLeft" activeCell="L12" sqref="L12"/>
      <selection pane="bottomRight" activeCell="J62" sqref="J62"/>
    </sheetView>
  </sheetViews>
  <sheetFormatPr defaultColWidth="9.25" defaultRowHeight="15.75" x14ac:dyDescent="0.25"/>
  <cols>
    <col min="1" max="1" width="37.5" style="74" customWidth="1"/>
    <col min="2" max="2" width="10.375" style="74" customWidth="1"/>
    <col min="3" max="3" width="12.625" style="7" customWidth="1"/>
    <col min="4" max="4" width="13.5" style="7" customWidth="1"/>
    <col min="5" max="5" width="14.5" style="7" customWidth="1"/>
    <col min="6" max="8" width="13.875" style="7" customWidth="1"/>
    <col min="9" max="9" width="15.25" style="7" customWidth="1"/>
    <col min="10" max="12" width="13.875" style="7" customWidth="1"/>
    <col min="13" max="13" width="15" style="7" customWidth="1"/>
    <col min="14" max="14" width="13.875" style="7" customWidth="1"/>
    <col min="15" max="15" width="12.875" style="7" customWidth="1"/>
    <col min="16" max="16" width="13.25" style="7" customWidth="1"/>
    <col min="17" max="17" width="16" style="7" customWidth="1"/>
    <col min="18" max="18" width="14.75" style="7" customWidth="1"/>
    <col min="19" max="20" width="12.625" style="7" customWidth="1"/>
    <col min="21" max="21" width="15.875" style="7" customWidth="1"/>
    <col min="22" max="22" width="14" style="7" customWidth="1"/>
    <col min="23" max="24" width="12.625" style="7" customWidth="1"/>
    <col min="25" max="25" width="15.625" style="7" customWidth="1"/>
    <col min="26" max="26" width="14.25" style="7" customWidth="1"/>
    <col min="27" max="27" width="13.125" style="7" customWidth="1"/>
    <col min="28" max="28" width="13.75" style="7" customWidth="1"/>
    <col min="29" max="29" width="15.25" style="7" customWidth="1"/>
    <col min="30" max="30" width="13.875" style="7" customWidth="1"/>
    <col min="31" max="31" width="13.125" style="7" customWidth="1"/>
    <col min="32" max="32" width="13.75" style="7" customWidth="1"/>
    <col min="33" max="33" width="15.25" style="7" customWidth="1"/>
    <col min="34" max="34" width="13.875" style="7" customWidth="1"/>
    <col min="35" max="35" width="13.125" style="7" customWidth="1"/>
    <col min="36" max="36" width="13.75" style="7" customWidth="1"/>
    <col min="37" max="37" width="15.25" style="7" customWidth="1"/>
    <col min="38" max="38" width="14.25" style="7" customWidth="1"/>
    <col min="39" max="16384" width="9.25" style="7"/>
  </cols>
  <sheetData>
    <row r="1" spans="1:38" x14ac:dyDescent="0.25">
      <c r="C1" s="944" t="s">
        <v>674</v>
      </c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944"/>
      <c r="O1" s="944" t="s">
        <v>674</v>
      </c>
      <c r="P1" s="944"/>
      <c r="Q1" s="944"/>
      <c r="R1" s="944"/>
      <c r="S1" s="944"/>
      <c r="T1" s="944"/>
      <c r="U1" s="944"/>
      <c r="V1" s="944"/>
      <c r="W1" s="944"/>
      <c r="X1" s="944"/>
      <c r="Y1" s="944"/>
      <c r="Z1" s="944"/>
      <c r="AA1" s="944" t="s">
        <v>674</v>
      </c>
      <c r="AB1" s="944"/>
      <c r="AC1" s="944"/>
      <c r="AD1" s="944"/>
      <c r="AE1" s="944"/>
      <c r="AF1" s="944"/>
      <c r="AG1" s="944"/>
      <c r="AH1" s="944"/>
      <c r="AI1" s="944"/>
      <c r="AJ1" s="944"/>
      <c r="AK1" s="944"/>
      <c r="AL1" s="944"/>
    </row>
    <row r="2" spans="1:38" x14ac:dyDescent="0.25">
      <c r="C2" s="944" t="s">
        <v>675</v>
      </c>
      <c r="D2" s="944"/>
      <c r="E2" s="944"/>
      <c r="F2" s="944"/>
      <c r="G2" s="944"/>
      <c r="H2" s="944"/>
      <c r="I2" s="944"/>
      <c r="J2" s="944"/>
      <c r="K2" s="944"/>
      <c r="L2" s="944"/>
      <c r="M2" s="944"/>
      <c r="N2" s="944"/>
      <c r="O2" s="944" t="s">
        <v>675</v>
      </c>
      <c r="P2" s="944"/>
      <c r="Q2" s="944"/>
      <c r="R2" s="944"/>
      <c r="S2" s="944"/>
      <c r="T2" s="944"/>
      <c r="U2" s="944"/>
      <c r="V2" s="944"/>
      <c r="W2" s="944"/>
      <c r="X2" s="944"/>
      <c r="Y2" s="944"/>
      <c r="Z2" s="944"/>
      <c r="AA2" s="944" t="s">
        <v>675</v>
      </c>
      <c r="AB2" s="944"/>
      <c r="AC2" s="944"/>
      <c r="AD2" s="944"/>
      <c r="AE2" s="944"/>
      <c r="AF2" s="944"/>
      <c r="AG2" s="944"/>
      <c r="AH2" s="944"/>
      <c r="AI2" s="944"/>
      <c r="AJ2" s="944"/>
      <c r="AK2" s="944"/>
      <c r="AL2" s="944"/>
    </row>
    <row r="3" spans="1:38" x14ac:dyDescent="0.25">
      <c r="C3" s="944" t="s">
        <v>944</v>
      </c>
      <c r="D3" s="944"/>
      <c r="E3" s="944"/>
      <c r="F3" s="944"/>
      <c r="G3" s="944"/>
      <c r="H3" s="944"/>
      <c r="I3" s="944"/>
      <c r="J3" s="944"/>
      <c r="K3" s="944"/>
      <c r="L3" s="944"/>
      <c r="M3" s="944"/>
      <c r="N3" s="944"/>
      <c r="O3" s="944" t="s">
        <v>944</v>
      </c>
      <c r="P3" s="944"/>
      <c r="Q3" s="944"/>
      <c r="R3" s="944"/>
      <c r="S3" s="944"/>
      <c r="T3" s="944"/>
      <c r="U3" s="944"/>
      <c r="V3" s="944"/>
      <c r="W3" s="944"/>
      <c r="X3" s="944"/>
      <c r="Y3" s="944"/>
      <c r="Z3" s="944"/>
      <c r="AA3" s="944" t="s">
        <v>944</v>
      </c>
      <c r="AB3" s="944"/>
      <c r="AC3" s="944"/>
      <c r="AD3" s="944"/>
      <c r="AE3" s="944"/>
      <c r="AF3" s="944"/>
      <c r="AG3" s="944"/>
      <c r="AH3" s="944"/>
      <c r="AI3" s="944"/>
      <c r="AJ3" s="944"/>
      <c r="AK3" s="944"/>
      <c r="AL3" s="944"/>
    </row>
    <row r="4" spans="1:38" ht="16.5" thickBot="1" x14ac:dyDescent="0.3"/>
    <row r="5" spans="1:38" ht="87" customHeight="1" thickTop="1" thickBot="1" x14ac:dyDescent="0.3">
      <c r="A5" s="5"/>
      <c r="B5" s="221"/>
      <c r="C5" s="936" t="s">
        <v>22</v>
      </c>
      <c r="D5" s="937"/>
      <c r="E5" s="937"/>
      <c r="F5" s="937"/>
      <c r="G5" s="937"/>
      <c r="H5" s="937"/>
      <c r="I5" s="937"/>
      <c r="J5" s="937"/>
      <c r="K5" s="937"/>
      <c r="L5" s="937"/>
      <c r="M5" s="937"/>
      <c r="N5" s="938"/>
      <c r="O5" s="940" t="s">
        <v>23</v>
      </c>
      <c r="P5" s="941"/>
      <c r="Q5" s="941"/>
      <c r="R5" s="941"/>
      <c r="S5" s="941"/>
      <c r="T5" s="941"/>
      <c r="U5" s="941"/>
      <c r="V5" s="941"/>
      <c r="W5" s="941"/>
      <c r="X5" s="941"/>
      <c r="Y5" s="941"/>
      <c r="Z5" s="942"/>
      <c r="AA5" s="933" t="s">
        <v>191</v>
      </c>
      <c r="AB5" s="934"/>
      <c r="AC5" s="934"/>
      <c r="AD5" s="934"/>
      <c r="AE5" s="934"/>
      <c r="AF5" s="934"/>
      <c r="AG5" s="934"/>
      <c r="AH5" s="934"/>
      <c r="AI5" s="934"/>
      <c r="AJ5" s="934"/>
      <c r="AK5" s="934"/>
      <c r="AL5" s="935"/>
    </row>
    <row r="6" spans="1:38" ht="33" customHeight="1" thickTop="1" thickBot="1" x14ac:dyDescent="0.3">
      <c r="A6" s="5" t="s">
        <v>184</v>
      </c>
      <c r="B6" s="221" t="s">
        <v>201</v>
      </c>
      <c r="C6" s="936" t="s">
        <v>653</v>
      </c>
      <c r="D6" s="937"/>
      <c r="E6" s="937"/>
      <c r="F6" s="938"/>
      <c r="G6" s="936" t="s">
        <v>654</v>
      </c>
      <c r="H6" s="937"/>
      <c r="I6" s="937"/>
      <c r="J6" s="938"/>
      <c r="K6" s="936" t="s">
        <v>835</v>
      </c>
      <c r="L6" s="937"/>
      <c r="M6" s="937"/>
      <c r="N6" s="938"/>
      <c r="O6" s="936" t="s">
        <v>653</v>
      </c>
      <c r="P6" s="937"/>
      <c r="Q6" s="937"/>
      <c r="R6" s="938"/>
      <c r="S6" s="939" t="s">
        <v>654</v>
      </c>
      <c r="T6" s="939"/>
      <c r="U6" s="939"/>
      <c r="V6" s="939"/>
      <c r="W6" s="939" t="s">
        <v>835</v>
      </c>
      <c r="X6" s="939"/>
      <c r="Y6" s="939"/>
      <c r="Z6" s="939"/>
      <c r="AA6" s="936" t="s">
        <v>653</v>
      </c>
      <c r="AB6" s="937"/>
      <c r="AC6" s="937"/>
      <c r="AD6" s="938"/>
      <c r="AE6" s="936" t="s">
        <v>654</v>
      </c>
      <c r="AF6" s="937"/>
      <c r="AG6" s="937"/>
      <c r="AH6" s="938"/>
      <c r="AI6" s="936" t="s">
        <v>835</v>
      </c>
      <c r="AJ6" s="937"/>
      <c r="AK6" s="937"/>
      <c r="AL6" s="938"/>
    </row>
    <row r="7" spans="1:38" ht="33" thickTop="1" thickBot="1" x14ac:dyDescent="0.3">
      <c r="A7" s="5"/>
      <c r="B7" s="221"/>
      <c r="C7" s="563" t="s">
        <v>178</v>
      </c>
      <c r="D7" s="569" t="s">
        <v>179</v>
      </c>
      <c r="E7" s="569" t="s">
        <v>538</v>
      </c>
      <c r="F7" s="569" t="s">
        <v>191</v>
      </c>
      <c r="G7" s="563" t="s">
        <v>178</v>
      </c>
      <c r="H7" s="563" t="s">
        <v>179</v>
      </c>
      <c r="I7" s="563" t="s">
        <v>538</v>
      </c>
      <c r="J7" s="563" t="s">
        <v>191</v>
      </c>
      <c r="K7" s="563" t="s">
        <v>178</v>
      </c>
      <c r="L7" s="563" t="s">
        <v>179</v>
      </c>
      <c r="M7" s="563" t="s">
        <v>538</v>
      </c>
      <c r="N7" s="569" t="s">
        <v>191</v>
      </c>
      <c r="O7" s="563" t="s">
        <v>178</v>
      </c>
      <c r="P7" s="569" t="s">
        <v>179</v>
      </c>
      <c r="Q7" s="569" t="s">
        <v>538</v>
      </c>
      <c r="R7" s="569" t="s">
        <v>191</v>
      </c>
      <c r="S7" s="563" t="s">
        <v>178</v>
      </c>
      <c r="T7" s="563" t="s">
        <v>179</v>
      </c>
      <c r="U7" s="563" t="s">
        <v>538</v>
      </c>
      <c r="V7" s="563" t="s">
        <v>191</v>
      </c>
      <c r="W7" s="563" t="s">
        <v>178</v>
      </c>
      <c r="X7" s="563" t="s">
        <v>179</v>
      </c>
      <c r="Y7" s="563" t="s">
        <v>538</v>
      </c>
      <c r="Z7" s="569" t="s">
        <v>191</v>
      </c>
      <c r="AA7" s="6" t="s">
        <v>178</v>
      </c>
      <c r="AB7" s="8" t="s">
        <v>179</v>
      </c>
      <c r="AC7" s="8" t="s">
        <v>538</v>
      </c>
      <c r="AD7" s="8" t="s">
        <v>191</v>
      </c>
      <c r="AE7" s="563" t="s">
        <v>178</v>
      </c>
      <c r="AF7" s="569" t="s">
        <v>179</v>
      </c>
      <c r="AG7" s="569" t="s">
        <v>538</v>
      </c>
      <c r="AH7" s="569" t="s">
        <v>191</v>
      </c>
      <c r="AI7" s="563" t="s">
        <v>178</v>
      </c>
      <c r="AJ7" s="569" t="s">
        <v>179</v>
      </c>
      <c r="AK7" s="569" t="s">
        <v>538</v>
      </c>
      <c r="AL7" s="569" t="s">
        <v>191</v>
      </c>
    </row>
    <row r="8" spans="1:38" ht="17.25" thickTop="1" thickBot="1" x14ac:dyDescent="0.3">
      <c r="A8" s="5" t="s">
        <v>185</v>
      </c>
      <c r="B8" s="221"/>
      <c r="C8" s="936" t="s">
        <v>664</v>
      </c>
      <c r="D8" s="937"/>
      <c r="E8" s="937"/>
      <c r="F8" s="938"/>
      <c r="G8" s="939" t="s">
        <v>665</v>
      </c>
      <c r="H8" s="939"/>
      <c r="I8" s="939"/>
      <c r="J8" s="939"/>
      <c r="K8" s="939" t="s">
        <v>666</v>
      </c>
      <c r="L8" s="939"/>
      <c r="M8" s="939"/>
      <c r="N8" s="939"/>
      <c r="O8" s="933" t="s">
        <v>667</v>
      </c>
      <c r="P8" s="934"/>
      <c r="Q8" s="934"/>
      <c r="R8" s="935"/>
      <c r="S8" s="943" t="s">
        <v>668</v>
      </c>
      <c r="T8" s="943"/>
      <c r="U8" s="943"/>
      <c r="V8" s="943"/>
      <c r="W8" s="943" t="s">
        <v>669</v>
      </c>
      <c r="X8" s="943"/>
      <c r="Y8" s="943"/>
      <c r="Z8" s="943"/>
      <c r="AA8" s="933" t="s">
        <v>670</v>
      </c>
      <c r="AB8" s="934"/>
      <c r="AC8" s="934"/>
      <c r="AD8" s="935"/>
      <c r="AE8" s="933" t="s">
        <v>671</v>
      </c>
      <c r="AF8" s="934"/>
      <c r="AG8" s="934"/>
      <c r="AH8" s="935"/>
      <c r="AI8" s="933" t="s">
        <v>672</v>
      </c>
      <c r="AJ8" s="934"/>
      <c r="AK8" s="934"/>
      <c r="AL8" s="935"/>
    </row>
    <row r="9" spans="1:38" s="32" customFormat="1" ht="32.25" thickTop="1" x14ac:dyDescent="0.25">
      <c r="A9" s="31" t="s">
        <v>243</v>
      </c>
      <c r="B9" s="241" t="s">
        <v>247</v>
      </c>
      <c r="C9" s="242">
        <v>7287</v>
      </c>
      <c r="D9" s="17"/>
      <c r="E9" s="18"/>
      <c r="F9" s="19">
        <f t="shared" ref="F9:F16" si="0">SUM(C9:E9)</f>
        <v>7287</v>
      </c>
      <c r="G9" s="19"/>
      <c r="H9" s="19"/>
      <c r="I9" s="19"/>
      <c r="J9" s="19">
        <f>SUM(G9:I9)</f>
        <v>0</v>
      </c>
      <c r="K9" s="19">
        <f>SUM(G9+C9)</f>
        <v>7287</v>
      </c>
      <c r="L9" s="19">
        <f t="shared" ref="L9:M9" si="1">SUM(H9+D9)</f>
        <v>0</v>
      </c>
      <c r="M9" s="19">
        <f t="shared" si="1"/>
        <v>0</v>
      </c>
      <c r="N9" s="19">
        <f>SUM(K9:M9)</f>
        <v>7287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2">
        <f t="shared" ref="AA9:AC11" si="2">SUM(O9+C9)</f>
        <v>7287</v>
      </c>
      <c r="AB9" s="12">
        <f t="shared" si="2"/>
        <v>0</v>
      </c>
      <c r="AC9" s="12">
        <f t="shared" si="2"/>
        <v>0</v>
      </c>
      <c r="AD9" s="12">
        <f>SUM(AA9:AC9)</f>
        <v>7287</v>
      </c>
      <c r="AE9" s="12">
        <f>SUM(S9+G9)</f>
        <v>0</v>
      </c>
      <c r="AF9" s="12">
        <f t="shared" ref="AE9:AG11" si="3">SUM(T9+H9)</f>
        <v>0</v>
      </c>
      <c r="AG9" s="12">
        <f t="shared" si="3"/>
        <v>0</v>
      </c>
      <c r="AH9" s="12">
        <f t="shared" ref="AH9:AH11" si="4">SUM(AE9:AG9)</f>
        <v>0</v>
      </c>
      <c r="AI9" s="12">
        <f>SUM(W9+K9)</f>
        <v>7287</v>
      </c>
      <c r="AJ9" s="12">
        <f t="shared" ref="AI9:AK11" si="5">SUM(X9+L9)</f>
        <v>0</v>
      </c>
      <c r="AK9" s="12">
        <f t="shared" si="5"/>
        <v>0</v>
      </c>
      <c r="AL9" s="12">
        <f t="shared" ref="AL9:AL11" si="6">SUM(AI9:AK9)</f>
        <v>7287</v>
      </c>
    </row>
    <row r="10" spans="1:38" s="32" customFormat="1" ht="31.5" x14ac:dyDescent="0.25">
      <c r="A10" s="31" t="s">
        <v>428</v>
      </c>
      <c r="B10" s="31" t="s">
        <v>248</v>
      </c>
      <c r="C10" s="18">
        <v>1841862</v>
      </c>
      <c r="D10" s="17"/>
      <c r="E10" s="18"/>
      <c r="F10" s="19">
        <f t="shared" si="0"/>
        <v>1841862</v>
      </c>
      <c r="G10" s="19"/>
      <c r="H10" s="19"/>
      <c r="I10" s="19"/>
      <c r="J10" s="19">
        <f>SUM(G10:I10)</f>
        <v>0</v>
      </c>
      <c r="K10" s="19">
        <f t="shared" ref="K10:K11" si="7">SUM(G10+C10)</f>
        <v>1841862</v>
      </c>
      <c r="L10" s="19">
        <f t="shared" ref="L10:L11" si="8">SUM(H10+D10)</f>
        <v>0</v>
      </c>
      <c r="M10" s="19">
        <f t="shared" ref="M10:M11" si="9">SUM(I10+E10)</f>
        <v>0</v>
      </c>
      <c r="N10" s="19">
        <f t="shared" ref="N10:N11" si="10">SUM(K10:M10)</f>
        <v>1841862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2">
        <f t="shared" si="2"/>
        <v>1841862</v>
      </c>
      <c r="AB10" s="12">
        <f t="shared" si="2"/>
        <v>0</v>
      </c>
      <c r="AC10" s="12">
        <f t="shared" si="2"/>
        <v>0</v>
      </c>
      <c r="AD10" s="12">
        <f>SUM(AA10:AC10)</f>
        <v>1841862</v>
      </c>
      <c r="AE10" s="12">
        <f t="shared" si="3"/>
        <v>0</v>
      </c>
      <c r="AF10" s="12">
        <f t="shared" si="3"/>
        <v>0</v>
      </c>
      <c r="AG10" s="12">
        <f t="shared" si="3"/>
        <v>0</v>
      </c>
      <c r="AH10" s="12">
        <f t="shared" si="4"/>
        <v>0</v>
      </c>
      <c r="AI10" s="12">
        <f t="shared" si="5"/>
        <v>1841862</v>
      </c>
      <c r="AJ10" s="12">
        <f t="shared" si="5"/>
        <v>0</v>
      </c>
      <c r="AK10" s="12">
        <f t="shared" si="5"/>
        <v>0</v>
      </c>
      <c r="AL10" s="12">
        <f t="shared" si="6"/>
        <v>1841862</v>
      </c>
    </row>
    <row r="11" spans="1:38" s="32" customFormat="1" ht="47.25" x14ac:dyDescent="0.25">
      <c r="A11" s="403" t="s">
        <v>397</v>
      </c>
      <c r="B11" s="31" t="s">
        <v>249</v>
      </c>
      <c r="C11" s="18">
        <v>1416449</v>
      </c>
      <c r="D11" s="17"/>
      <c r="E11" s="18"/>
      <c r="F11" s="19">
        <f t="shared" si="0"/>
        <v>1416449</v>
      </c>
      <c r="G11" s="19">
        <v>7654</v>
      </c>
      <c r="H11" s="19"/>
      <c r="I11" s="19"/>
      <c r="J11" s="19">
        <f t="shared" ref="J11:J16" si="11">SUM(G11:I11)</f>
        <v>7654</v>
      </c>
      <c r="K11" s="18">
        <f t="shared" si="7"/>
        <v>1424103</v>
      </c>
      <c r="L11" s="19">
        <f t="shared" si="8"/>
        <v>0</v>
      </c>
      <c r="M11" s="19">
        <f t="shared" si="9"/>
        <v>0</v>
      </c>
      <c r="N11" s="19">
        <f t="shared" si="10"/>
        <v>1424103</v>
      </c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2">
        <f t="shared" si="2"/>
        <v>1416449</v>
      </c>
      <c r="AB11" s="12">
        <f t="shared" si="2"/>
        <v>0</v>
      </c>
      <c r="AC11" s="12">
        <f t="shared" si="2"/>
        <v>0</v>
      </c>
      <c r="AD11" s="12">
        <f>SUM(AA11:AC11)</f>
        <v>1416449</v>
      </c>
      <c r="AE11" s="12">
        <f t="shared" si="3"/>
        <v>7654</v>
      </c>
      <c r="AF11" s="12">
        <f t="shared" si="3"/>
        <v>0</v>
      </c>
      <c r="AG11" s="12">
        <f t="shared" si="3"/>
        <v>0</v>
      </c>
      <c r="AH11" s="12">
        <f t="shared" si="4"/>
        <v>7654</v>
      </c>
      <c r="AI11" s="12">
        <f t="shared" si="5"/>
        <v>1424103</v>
      </c>
      <c r="AJ11" s="12">
        <f t="shared" si="5"/>
        <v>0</v>
      </c>
      <c r="AK11" s="12">
        <f t="shared" si="5"/>
        <v>0</v>
      </c>
      <c r="AL11" s="12">
        <f t="shared" si="6"/>
        <v>1424103</v>
      </c>
    </row>
    <row r="12" spans="1:38" s="32" customFormat="1" ht="31.5" x14ac:dyDescent="0.25">
      <c r="A12" s="31" t="s">
        <v>244</v>
      </c>
      <c r="B12" s="31" t="s">
        <v>250</v>
      </c>
      <c r="C12" s="18">
        <v>458587</v>
      </c>
      <c r="D12" s="17">
        <v>304300</v>
      </c>
      <c r="E12" s="18"/>
      <c r="F12" s="19">
        <f t="shared" si="0"/>
        <v>762887</v>
      </c>
      <c r="G12" s="19"/>
      <c r="H12" s="19"/>
      <c r="I12" s="19"/>
      <c r="J12" s="19">
        <f t="shared" si="11"/>
        <v>0</v>
      </c>
      <c r="K12" s="18">
        <f t="shared" ref="K12:K16" si="12">SUM(G12+C12)</f>
        <v>458587</v>
      </c>
      <c r="L12" s="19">
        <f t="shared" ref="L12:L16" si="13">SUM(H12+D12)</f>
        <v>304300</v>
      </c>
      <c r="M12" s="19">
        <f t="shared" ref="M12:M16" si="14">SUM(I12+E12)</f>
        <v>0</v>
      </c>
      <c r="N12" s="19">
        <f t="shared" ref="N12:N16" si="15">SUM(K12:M12)</f>
        <v>762887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2">
        <f t="shared" ref="AA12:AD16" si="16">SUM(C12+O12)</f>
        <v>458587</v>
      </c>
      <c r="AB12" s="12">
        <f t="shared" si="16"/>
        <v>304300</v>
      </c>
      <c r="AC12" s="12">
        <f t="shared" si="16"/>
        <v>0</v>
      </c>
      <c r="AD12" s="12">
        <f t="shared" si="16"/>
        <v>762887</v>
      </c>
      <c r="AE12" s="12">
        <f t="shared" ref="AE12:AL16" si="17">SUM(G12+S12)</f>
        <v>0</v>
      </c>
      <c r="AF12" s="12">
        <f t="shared" si="17"/>
        <v>0</v>
      </c>
      <c r="AG12" s="12">
        <f t="shared" si="17"/>
        <v>0</v>
      </c>
      <c r="AH12" s="12">
        <f t="shared" si="17"/>
        <v>0</v>
      </c>
      <c r="AI12" s="12">
        <f t="shared" si="17"/>
        <v>458587</v>
      </c>
      <c r="AJ12" s="12">
        <f t="shared" si="17"/>
        <v>304300</v>
      </c>
      <c r="AK12" s="12">
        <f t="shared" si="17"/>
        <v>0</v>
      </c>
      <c r="AL12" s="12">
        <f t="shared" si="17"/>
        <v>762887</v>
      </c>
    </row>
    <row r="13" spans="1:38" s="33" customFormat="1" ht="31.5" x14ac:dyDescent="0.25">
      <c r="A13" s="31" t="s">
        <v>25</v>
      </c>
      <c r="B13" s="31"/>
      <c r="C13" s="18">
        <v>221200</v>
      </c>
      <c r="D13" s="17"/>
      <c r="E13" s="18"/>
      <c r="F13" s="19">
        <f t="shared" si="0"/>
        <v>221200</v>
      </c>
      <c r="G13" s="19"/>
      <c r="H13" s="19"/>
      <c r="I13" s="19"/>
      <c r="J13" s="19">
        <f t="shared" si="11"/>
        <v>0</v>
      </c>
      <c r="K13" s="18">
        <f t="shared" si="12"/>
        <v>221200</v>
      </c>
      <c r="L13" s="19">
        <f t="shared" si="13"/>
        <v>0</v>
      </c>
      <c r="M13" s="19">
        <f t="shared" si="14"/>
        <v>0</v>
      </c>
      <c r="N13" s="19">
        <f t="shared" si="15"/>
        <v>221200</v>
      </c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2">
        <f t="shared" si="16"/>
        <v>221200</v>
      </c>
      <c r="AB13" s="12">
        <f t="shared" si="16"/>
        <v>0</v>
      </c>
      <c r="AC13" s="12">
        <f t="shared" si="16"/>
        <v>0</v>
      </c>
      <c r="AD13" s="12">
        <f t="shared" si="16"/>
        <v>221200</v>
      </c>
      <c r="AE13" s="12">
        <f t="shared" si="17"/>
        <v>0</v>
      </c>
      <c r="AF13" s="12">
        <f t="shared" si="17"/>
        <v>0</v>
      </c>
      <c r="AG13" s="12">
        <f t="shared" si="17"/>
        <v>0</v>
      </c>
      <c r="AH13" s="12">
        <f t="shared" si="17"/>
        <v>0</v>
      </c>
      <c r="AI13" s="12">
        <f t="shared" si="17"/>
        <v>221200</v>
      </c>
      <c r="AJ13" s="12">
        <f t="shared" si="17"/>
        <v>0</v>
      </c>
      <c r="AK13" s="12">
        <f t="shared" si="17"/>
        <v>0</v>
      </c>
      <c r="AL13" s="12">
        <f t="shared" si="17"/>
        <v>221200</v>
      </c>
    </row>
    <row r="14" spans="1:38" s="33" customFormat="1" ht="31.5" x14ac:dyDescent="0.25">
      <c r="A14" s="31" t="s">
        <v>26</v>
      </c>
      <c r="B14" s="31"/>
      <c r="C14" s="18">
        <v>134300</v>
      </c>
      <c r="D14" s="17"/>
      <c r="E14" s="18"/>
      <c r="F14" s="19">
        <f t="shared" si="0"/>
        <v>134300</v>
      </c>
      <c r="G14" s="19"/>
      <c r="H14" s="19"/>
      <c r="I14" s="19"/>
      <c r="J14" s="19">
        <f t="shared" si="11"/>
        <v>0</v>
      </c>
      <c r="K14" s="18">
        <f t="shared" si="12"/>
        <v>134300</v>
      </c>
      <c r="L14" s="19">
        <f t="shared" si="13"/>
        <v>0</v>
      </c>
      <c r="M14" s="19">
        <f t="shared" si="14"/>
        <v>0</v>
      </c>
      <c r="N14" s="19">
        <f t="shared" si="15"/>
        <v>134300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2">
        <f t="shared" si="16"/>
        <v>134300</v>
      </c>
      <c r="AB14" s="12">
        <f t="shared" si="16"/>
        <v>0</v>
      </c>
      <c r="AC14" s="12">
        <f t="shared" si="16"/>
        <v>0</v>
      </c>
      <c r="AD14" s="12">
        <f t="shared" si="16"/>
        <v>134300</v>
      </c>
      <c r="AE14" s="12">
        <f t="shared" si="17"/>
        <v>0</v>
      </c>
      <c r="AF14" s="12">
        <f t="shared" si="17"/>
        <v>0</v>
      </c>
      <c r="AG14" s="12">
        <f t="shared" si="17"/>
        <v>0</v>
      </c>
      <c r="AH14" s="12">
        <f t="shared" si="17"/>
        <v>0</v>
      </c>
      <c r="AI14" s="12">
        <f t="shared" si="17"/>
        <v>134300</v>
      </c>
      <c r="AJ14" s="12">
        <f t="shared" si="17"/>
        <v>0</v>
      </c>
      <c r="AK14" s="12">
        <f t="shared" si="17"/>
        <v>0</v>
      </c>
      <c r="AL14" s="12">
        <f t="shared" si="17"/>
        <v>134300</v>
      </c>
    </row>
    <row r="15" spans="1:38" s="33" customFormat="1" x14ac:dyDescent="0.25">
      <c r="A15" s="31" t="s">
        <v>27</v>
      </c>
      <c r="B15" s="31"/>
      <c r="C15" s="18"/>
      <c r="D15" s="17">
        <v>304300</v>
      </c>
      <c r="E15" s="18"/>
      <c r="F15" s="19">
        <f t="shared" si="0"/>
        <v>304300</v>
      </c>
      <c r="G15" s="19"/>
      <c r="H15" s="19"/>
      <c r="I15" s="19"/>
      <c r="J15" s="19">
        <f t="shared" si="11"/>
        <v>0</v>
      </c>
      <c r="K15" s="18">
        <f t="shared" si="12"/>
        <v>0</v>
      </c>
      <c r="L15" s="19">
        <f t="shared" si="13"/>
        <v>304300</v>
      </c>
      <c r="M15" s="19">
        <f t="shared" si="14"/>
        <v>0</v>
      </c>
      <c r="N15" s="19">
        <f t="shared" si="15"/>
        <v>304300</v>
      </c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2">
        <f t="shared" si="16"/>
        <v>0</v>
      </c>
      <c r="AB15" s="12">
        <f t="shared" si="16"/>
        <v>304300</v>
      </c>
      <c r="AC15" s="12">
        <f t="shared" si="16"/>
        <v>0</v>
      </c>
      <c r="AD15" s="12">
        <f t="shared" si="16"/>
        <v>304300</v>
      </c>
      <c r="AE15" s="12">
        <f t="shared" si="17"/>
        <v>0</v>
      </c>
      <c r="AF15" s="12">
        <f t="shared" si="17"/>
        <v>0</v>
      </c>
      <c r="AG15" s="12">
        <f t="shared" si="17"/>
        <v>0</v>
      </c>
      <c r="AH15" s="12">
        <f t="shared" si="17"/>
        <v>0</v>
      </c>
      <c r="AI15" s="12">
        <f t="shared" si="17"/>
        <v>0</v>
      </c>
      <c r="AJ15" s="12">
        <f t="shared" si="17"/>
        <v>304300</v>
      </c>
      <c r="AK15" s="12">
        <f t="shared" si="17"/>
        <v>0</v>
      </c>
      <c r="AL15" s="12">
        <f t="shared" si="17"/>
        <v>304300</v>
      </c>
    </row>
    <row r="16" spans="1:38" s="33" customFormat="1" ht="36.75" customHeight="1" x14ac:dyDescent="0.25">
      <c r="A16" s="31" t="s">
        <v>245</v>
      </c>
      <c r="B16" s="31" t="s">
        <v>251</v>
      </c>
      <c r="C16" s="18">
        <v>15689</v>
      </c>
      <c r="D16" s="17"/>
      <c r="E16" s="18"/>
      <c r="F16" s="19">
        <f t="shared" si="0"/>
        <v>15689</v>
      </c>
      <c r="G16" s="19">
        <v>21439</v>
      </c>
      <c r="H16" s="19"/>
      <c r="I16" s="19"/>
      <c r="J16" s="19">
        <f t="shared" si="11"/>
        <v>21439</v>
      </c>
      <c r="K16" s="18">
        <f t="shared" si="12"/>
        <v>37128</v>
      </c>
      <c r="L16" s="19">
        <f t="shared" si="13"/>
        <v>0</v>
      </c>
      <c r="M16" s="19">
        <f t="shared" si="14"/>
        <v>0</v>
      </c>
      <c r="N16" s="19">
        <f t="shared" si="15"/>
        <v>37128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2">
        <f t="shared" si="16"/>
        <v>15689</v>
      </c>
      <c r="AB16" s="12">
        <f t="shared" si="16"/>
        <v>0</v>
      </c>
      <c r="AC16" s="12">
        <f t="shared" si="16"/>
        <v>0</v>
      </c>
      <c r="AD16" s="12">
        <f t="shared" si="16"/>
        <v>15689</v>
      </c>
      <c r="AE16" s="12">
        <f t="shared" si="17"/>
        <v>21439</v>
      </c>
      <c r="AF16" s="12">
        <f t="shared" si="17"/>
        <v>0</v>
      </c>
      <c r="AG16" s="12">
        <f t="shared" si="17"/>
        <v>0</v>
      </c>
      <c r="AH16" s="12">
        <f t="shared" si="17"/>
        <v>21439</v>
      </c>
      <c r="AI16" s="12">
        <f t="shared" si="17"/>
        <v>37128</v>
      </c>
      <c r="AJ16" s="12">
        <f t="shared" si="17"/>
        <v>0</v>
      </c>
      <c r="AK16" s="12">
        <f t="shared" si="17"/>
        <v>0</v>
      </c>
      <c r="AL16" s="12">
        <f t="shared" si="17"/>
        <v>37128</v>
      </c>
    </row>
    <row r="17" spans="1:38" s="25" customFormat="1" ht="31.5" x14ac:dyDescent="0.25">
      <c r="A17" s="22" t="s">
        <v>246</v>
      </c>
      <c r="B17" s="22" t="s">
        <v>252</v>
      </c>
      <c r="C17" s="23">
        <f t="shared" ref="C17:AD17" si="18">SUM(C9:C11,C12,C16)</f>
        <v>3739874</v>
      </c>
      <c r="D17" s="23">
        <f t="shared" si="18"/>
        <v>304300</v>
      </c>
      <c r="E17" s="23">
        <f t="shared" si="18"/>
        <v>0</v>
      </c>
      <c r="F17" s="23">
        <f t="shared" si="18"/>
        <v>4044174</v>
      </c>
      <c r="G17" s="23">
        <f t="shared" si="18"/>
        <v>29093</v>
      </c>
      <c r="H17" s="23">
        <f t="shared" si="18"/>
        <v>0</v>
      </c>
      <c r="I17" s="23">
        <f t="shared" si="18"/>
        <v>0</v>
      </c>
      <c r="J17" s="23">
        <f t="shared" si="18"/>
        <v>29093</v>
      </c>
      <c r="K17" s="23">
        <f t="shared" si="18"/>
        <v>3768967</v>
      </c>
      <c r="L17" s="23">
        <f t="shared" si="18"/>
        <v>304300</v>
      </c>
      <c r="M17" s="23">
        <f t="shared" si="18"/>
        <v>0</v>
      </c>
      <c r="N17" s="23">
        <f t="shared" si="18"/>
        <v>4073267</v>
      </c>
      <c r="O17" s="23">
        <f t="shared" si="18"/>
        <v>0</v>
      </c>
      <c r="P17" s="23">
        <f t="shared" si="18"/>
        <v>0</v>
      </c>
      <c r="Q17" s="23">
        <f t="shared" si="18"/>
        <v>0</v>
      </c>
      <c r="R17" s="23">
        <f t="shared" si="18"/>
        <v>0</v>
      </c>
      <c r="S17" s="23">
        <f t="shared" si="18"/>
        <v>0</v>
      </c>
      <c r="T17" s="23">
        <f t="shared" si="18"/>
        <v>0</v>
      </c>
      <c r="U17" s="23">
        <f t="shared" si="18"/>
        <v>0</v>
      </c>
      <c r="V17" s="23">
        <f t="shared" si="18"/>
        <v>0</v>
      </c>
      <c r="W17" s="23">
        <f t="shared" si="18"/>
        <v>0</v>
      </c>
      <c r="X17" s="23">
        <f t="shared" si="18"/>
        <v>0</v>
      </c>
      <c r="Y17" s="23">
        <f t="shared" si="18"/>
        <v>0</v>
      </c>
      <c r="Z17" s="23">
        <f t="shared" si="18"/>
        <v>0</v>
      </c>
      <c r="AA17" s="23">
        <f t="shared" si="18"/>
        <v>3739874</v>
      </c>
      <c r="AB17" s="23">
        <f t="shared" si="18"/>
        <v>304300</v>
      </c>
      <c r="AC17" s="23">
        <f t="shared" si="18"/>
        <v>0</v>
      </c>
      <c r="AD17" s="23">
        <f t="shared" si="18"/>
        <v>4044174</v>
      </c>
      <c r="AE17" s="23">
        <f t="shared" ref="AE17:AL17" si="19">SUM(AE9:AE11,AE12,AE16)</f>
        <v>29093</v>
      </c>
      <c r="AF17" s="23">
        <f t="shared" si="19"/>
        <v>0</v>
      </c>
      <c r="AG17" s="23">
        <f t="shared" si="19"/>
        <v>0</v>
      </c>
      <c r="AH17" s="23">
        <f t="shared" si="19"/>
        <v>29093</v>
      </c>
      <c r="AI17" s="23">
        <f t="shared" si="19"/>
        <v>3768967</v>
      </c>
      <c r="AJ17" s="23">
        <f t="shared" si="19"/>
        <v>304300</v>
      </c>
      <c r="AK17" s="23">
        <f t="shared" si="19"/>
        <v>0</v>
      </c>
      <c r="AL17" s="23">
        <f t="shared" si="19"/>
        <v>4073267</v>
      </c>
    </row>
    <row r="18" spans="1:38" s="25" customFormat="1" ht="31.5" x14ac:dyDescent="0.25">
      <c r="A18" s="22" t="s">
        <v>286</v>
      </c>
      <c r="B18" s="22" t="s">
        <v>287</v>
      </c>
      <c r="C18" s="23">
        <v>33504</v>
      </c>
      <c r="D18" s="23">
        <v>16815</v>
      </c>
      <c r="E18" s="23"/>
      <c r="F18" s="23">
        <f>SUM(C18:E18)</f>
        <v>50319</v>
      </c>
      <c r="G18" s="23"/>
      <c r="H18" s="23">
        <v>58991</v>
      </c>
      <c r="I18" s="23"/>
      <c r="J18" s="23">
        <f>SUM(G18:I18)</f>
        <v>58991</v>
      </c>
      <c r="K18" s="23">
        <f t="shared" ref="K18" si="20">SUM(G18+C18)</f>
        <v>33504</v>
      </c>
      <c r="L18" s="23">
        <f t="shared" ref="L18" si="21">SUM(H18+D18)</f>
        <v>75806</v>
      </c>
      <c r="M18" s="23">
        <f t="shared" ref="M18" si="22">SUM(I18+E18)</f>
        <v>0</v>
      </c>
      <c r="N18" s="23">
        <f t="shared" ref="N18" si="23">SUM(K18:M18)</f>
        <v>109310</v>
      </c>
      <c r="O18" s="23">
        <v>688332</v>
      </c>
      <c r="P18" s="23">
        <v>299304</v>
      </c>
      <c r="Q18" s="23">
        <v>69774</v>
      </c>
      <c r="R18" s="23">
        <f>SUM(O18:Q18)</f>
        <v>1057410</v>
      </c>
      <c r="S18" s="23">
        <v>7924</v>
      </c>
      <c r="T18" s="23">
        <v>14574</v>
      </c>
      <c r="U18" s="23"/>
      <c r="V18" s="23">
        <f>SUM(S18:U18)</f>
        <v>22498</v>
      </c>
      <c r="W18" s="23">
        <f>SUM(S18+O18)</f>
        <v>696256</v>
      </c>
      <c r="X18" s="23">
        <f>SUM(T18+P18)</f>
        <v>313878</v>
      </c>
      <c r="Y18" s="23">
        <f>SUM(Q18+U18)</f>
        <v>69774</v>
      </c>
      <c r="Z18" s="23">
        <f>SUM(W18:Y18)</f>
        <v>1079908</v>
      </c>
      <c r="AA18" s="12">
        <f>SUM(C18+O18)</f>
        <v>721836</v>
      </c>
      <c r="AB18" s="12">
        <f>SUM(D18+P18)</f>
        <v>316119</v>
      </c>
      <c r="AC18" s="12">
        <f>SUM(E18+Q18)</f>
        <v>69774</v>
      </c>
      <c r="AD18" s="12">
        <f>SUM(F18+R18)</f>
        <v>1107729</v>
      </c>
      <c r="AE18" s="12">
        <f t="shared" ref="AE18:AL18" si="24">SUM(G18+S18)</f>
        <v>7924</v>
      </c>
      <c r="AF18" s="12">
        <f t="shared" si="24"/>
        <v>73565</v>
      </c>
      <c r="AG18" s="12">
        <f t="shared" si="24"/>
        <v>0</v>
      </c>
      <c r="AH18" s="12">
        <f t="shared" si="24"/>
        <v>81489</v>
      </c>
      <c r="AI18" s="12">
        <f t="shared" si="24"/>
        <v>729760</v>
      </c>
      <c r="AJ18" s="12">
        <f t="shared" si="24"/>
        <v>389684</v>
      </c>
      <c r="AK18" s="12">
        <f t="shared" si="24"/>
        <v>69774</v>
      </c>
      <c r="AL18" s="12">
        <f t="shared" si="24"/>
        <v>1189218</v>
      </c>
    </row>
    <row r="19" spans="1:38" s="15" customFormat="1" ht="31.5" x14ac:dyDescent="0.25">
      <c r="A19" s="13" t="s">
        <v>288</v>
      </c>
      <c r="B19" s="13" t="s">
        <v>212</v>
      </c>
      <c r="C19" s="12">
        <f>SUM(C17+C18)</f>
        <v>3773378</v>
      </c>
      <c r="D19" s="12">
        <f t="shared" ref="D19:AD19" si="25">SUM(D17+D18)</f>
        <v>321115</v>
      </c>
      <c r="E19" s="12">
        <f t="shared" si="25"/>
        <v>0</v>
      </c>
      <c r="F19" s="12">
        <f t="shared" si="25"/>
        <v>4094493</v>
      </c>
      <c r="G19" s="12">
        <f t="shared" si="25"/>
        <v>29093</v>
      </c>
      <c r="H19" s="12">
        <f t="shared" si="25"/>
        <v>58991</v>
      </c>
      <c r="I19" s="12">
        <f t="shared" si="25"/>
        <v>0</v>
      </c>
      <c r="J19" s="12">
        <f t="shared" si="25"/>
        <v>88084</v>
      </c>
      <c r="K19" s="12">
        <f t="shared" si="25"/>
        <v>3802471</v>
      </c>
      <c r="L19" s="12">
        <f t="shared" si="25"/>
        <v>380106</v>
      </c>
      <c r="M19" s="12">
        <f t="shared" si="25"/>
        <v>0</v>
      </c>
      <c r="N19" s="12">
        <f t="shared" si="25"/>
        <v>4182577</v>
      </c>
      <c r="O19" s="12">
        <f t="shared" si="25"/>
        <v>688332</v>
      </c>
      <c r="P19" s="12">
        <f t="shared" si="25"/>
        <v>299304</v>
      </c>
      <c r="Q19" s="12">
        <f t="shared" si="25"/>
        <v>69774</v>
      </c>
      <c r="R19" s="12">
        <f t="shared" si="25"/>
        <v>1057410</v>
      </c>
      <c r="S19" s="12">
        <f t="shared" si="25"/>
        <v>7924</v>
      </c>
      <c r="T19" s="12">
        <f t="shared" si="25"/>
        <v>14574</v>
      </c>
      <c r="U19" s="12">
        <f t="shared" si="25"/>
        <v>0</v>
      </c>
      <c r="V19" s="12">
        <f t="shared" si="25"/>
        <v>22498</v>
      </c>
      <c r="W19" s="12">
        <f t="shared" si="25"/>
        <v>696256</v>
      </c>
      <c r="X19" s="12">
        <f t="shared" si="25"/>
        <v>313878</v>
      </c>
      <c r="Y19" s="12">
        <f t="shared" si="25"/>
        <v>69774</v>
      </c>
      <c r="Z19" s="12">
        <f t="shared" si="25"/>
        <v>1079908</v>
      </c>
      <c r="AA19" s="12">
        <f t="shared" si="25"/>
        <v>4461710</v>
      </c>
      <c r="AB19" s="12">
        <f t="shared" si="25"/>
        <v>620419</v>
      </c>
      <c r="AC19" s="12">
        <f t="shared" si="25"/>
        <v>69774</v>
      </c>
      <c r="AD19" s="12">
        <f t="shared" si="25"/>
        <v>5151903</v>
      </c>
      <c r="AE19" s="12">
        <f t="shared" ref="AE19:AL19" si="26">SUM(AE17+AE18)</f>
        <v>37017</v>
      </c>
      <c r="AF19" s="12">
        <f t="shared" si="26"/>
        <v>73565</v>
      </c>
      <c r="AG19" s="12">
        <f t="shared" si="26"/>
        <v>0</v>
      </c>
      <c r="AH19" s="12">
        <f t="shared" si="26"/>
        <v>110582</v>
      </c>
      <c r="AI19" s="12">
        <f t="shared" si="26"/>
        <v>4498727</v>
      </c>
      <c r="AJ19" s="12">
        <f t="shared" si="26"/>
        <v>693984</v>
      </c>
      <c r="AK19" s="12">
        <f t="shared" si="26"/>
        <v>69774</v>
      </c>
      <c r="AL19" s="12">
        <f t="shared" si="26"/>
        <v>5262485</v>
      </c>
    </row>
    <row r="20" spans="1:38" s="42" customFormat="1" ht="31.5" x14ac:dyDescent="0.25">
      <c r="A20" s="22" t="s">
        <v>289</v>
      </c>
      <c r="B20" s="243" t="s">
        <v>253</v>
      </c>
      <c r="C20" s="43"/>
      <c r="D20" s="239">
        <v>0</v>
      </c>
      <c r="E20" s="43">
        <v>0</v>
      </c>
      <c r="F20" s="44">
        <f>SUM(C20:E20)</f>
        <v>0</v>
      </c>
      <c r="G20" s="44"/>
      <c r="H20" s="44">
        <v>900000</v>
      </c>
      <c r="I20" s="44"/>
      <c r="J20" s="44">
        <f>SUM(G20:I20)</f>
        <v>900000</v>
      </c>
      <c r="K20" s="43">
        <f t="shared" ref="K20:K21" si="27">SUM(G20+C20)</f>
        <v>0</v>
      </c>
      <c r="L20" s="44">
        <f t="shared" ref="L20:L21" si="28">SUM(H20+D20)</f>
        <v>900000</v>
      </c>
      <c r="M20" s="44">
        <f t="shared" ref="M20:M21" si="29">SUM(I20+E20)</f>
        <v>0</v>
      </c>
      <c r="N20" s="44">
        <f t="shared" ref="N20:N21" si="30">SUM(K20:M20)</f>
        <v>900000</v>
      </c>
      <c r="O20" s="43"/>
      <c r="P20" s="43"/>
      <c r="Q20" s="43"/>
      <c r="R20" s="43">
        <f>SUM(O20:Q20)</f>
        <v>0</v>
      </c>
      <c r="S20" s="43"/>
      <c r="T20" s="43"/>
      <c r="U20" s="43"/>
      <c r="V20" s="43">
        <f>SUM(S20:U20)</f>
        <v>0</v>
      </c>
      <c r="W20" s="43">
        <f>SUM(S20+O20)</f>
        <v>0</v>
      </c>
      <c r="X20" s="43">
        <f>SUM(T20+P20)</f>
        <v>0</v>
      </c>
      <c r="Y20" s="43">
        <f>SUM(Q20+U20)</f>
        <v>0</v>
      </c>
      <c r="Z20" s="43">
        <f>SUM(W20:Y20)</f>
        <v>0</v>
      </c>
      <c r="AA20" s="12">
        <f t="shared" ref="AA20:AD21" si="31">SUM(C20+O20)</f>
        <v>0</v>
      </c>
      <c r="AB20" s="12">
        <f t="shared" si="31"/>
        <v>0</v>
      </c>
      <c r="AC20" s="12">
        <f t="shared" si="31"/>
        <v>0</v>
      </c>
      <c r="AD20" s="12">
        <f t="shared" si="31"/>
        <v>0</v>
      </c>
      <c r="AE20" s="12">
        <f t="shared" ref="AE20:AL21" si="32">SUM(G20+S20)</f>
        <v>0</v>
      </c>
      <c r="AF20" s="12">
        <f t="shared" si="32"/>
        <v>900000</v>
      </c>
      <c r="AG20" s="12">
        <f t="shared" si="32"/>
        <v>0</v>
      </c>
      <c r="AH20" s="12">
        <f t="shared" si="32"/>
        <v>900000</v>
      </c>
      <c r="AI20" s="12">
        <f t="shared" si="32"/>
        <v>0</v>
      </c>
      <c r="AJ20" s="12">
        <f t="shared" si="32"/>
        <v>900000</v>
      </c>
      <c r="AK20" s="12">
        <f t="shared" si="32"/>
        <v>0</v>
      </c>
      <c r="AL20" s="12">
        <f t="shared" si="32"/>
        <v>900000</v>
      </c>
    </row>
    <row r="21" spans="1:38" s="42" customFormat="1" ht="31.5" x14ac:dyDescent="0.25">
      <c r="A21" s="22" t="s">
        <v>291</v>
      </c>
      <c r="B21" s="243" t="s">
        <v>290</v>
      </c>
      <c r="C21" s="43">
        <v>2253000</v>
      </c>
      <c r="D21" s="239">
        <v>13226240</v>
      </c>
      <c r="E21" s="43">
        <v>0</v>
      </c>
      <c r="F21" s="44">
        <f>SUM(C21:E21)</f>
        <v>15479240</v>
      </c>
      <c r="G21" s="44">
        <v>89380</v>
      </c>
      <c r="H21" s="44">
        <v>278103</v>
      </c>
      <c r="I21" s="44"/>
      <c r="J21" s="44">
        <f>SUM(G21:I21)</f>
        <v>367483</v>
      </c>
      <c r="K21" s="43">
        <f t="shared" si="27"/>
        <v>2342380</v>
      </c>
      <c r="L21" s="44">
        <f t="shared" si="28"/>
        <v>13504343</v>
      </c>
      <c r="M21" s="44">
        <f t="shared" si="29"/>
        <v>0</v>
      </c>
      <c r="N21" s="44">
        <f t="shared" si="30"/>
        <v>15846723</v>
      </c>
      <c r="O21" s="43"/>
      <c r="P21" s="43"/>
      <c r="Q21" s="43"/>
      <c r="R21" s="43">
        <f>SUM(O21:Q21)</f>
        <v>0</v>
      </c>
      <c r="S21" s="43"/>
      <c r="T21" s="43"/>
      <c r="U21" s="43"/>
      <c r="V21" s="43">
        <f>SUM(S21:U21)</f>
        <v>0</v>
      </c>
      <c r="W21" s="43">
        <f>SUM(S21+O21)</f>
        <v>0</v>
      </c>
      <c r="X21" s="43">
        <f>SUM(T21+P21)</f>
        <v>0</v>
      </c>
      <c r="Y21" s="43">
        <f>SUM(Q21+U21)</f>
        <v>0</v>
      </c>
      <c r="Z21" s="43">
        <f>SUM(W21:Y21)</f>
        <v>0</v>
      </c>
      <c r="AA21" s="12">
        <f t="shared" si="31"/>
        <v>2253000</v>
      </c>
      <c r="AB21" s="12">
        <f t="shared" si="31"/>
        <v>13226240</v>
      </c>
      <c r="AC21" s="12">
        <f t="shared" si="31"/>
        <v>0</v>
      </c>
      <c r="AD21" s="12">
        <f t="shared" si="31"/>
        <v>15479240</v>
      </c>
      <c r="AE21" s="12">
        <f t="shared" si="32"/>
        <v>89380</v>
      </c>
      <c r="AF21" s="12">
        <f t="shared" si="32"/>
        <v>278103</v>
      </c>
      <c r="AG21" s="12">
        <f t="shared" si="32"/>
        <v>0</v>
      </c>
      <c r="AH21" s="12">
        <f t="shared" si="32"/>
        <v>367483</v>
      </c>
      <c r="AI21" s="12">
        <f t="shared" si="32"/>
        <v>2342380</v>
      </c>
      <c r="AJ21" s="12">
        <f t="shared" si="32"/>
        <v>13504343</v>
      </c>
      <c r="AK21" s="12">
        <f t="shared" si="32"/>
        <v>0</v>
      </c>
      <c r="AL21" s="12">
        <f t="shared" si="32"/>
        <v>15846723</v>
      </c>
    </row>
    <row r="22" spans="1:38" s="45" customFormat="1" ht="31.5" x14ac:dyDescent="0.25">
      <c r="A22" s="13" t="s">
        <v>292</v>
      </c>
      <c r="B22" s="47" t="s">
        <v>213</v>
      </c>
      <c r="C22" s="46">
        <f>SUM(C20+C21)</f>
        <v>2253000</v>
      </c>
      <c r="D22" s="46">
        <f t="shared" ref="D22:AD22" si="33">SUM(D20+D21)</f>
        <v>13226240</v>
      </c>
      <c r="E22" s="46">
        <f t="shared" si="33"/>
        <v>0</v>
      </c>
      <c r="F22" s="46">
        <f t="shared" si="33"/>
        <v>15479240</v>
      </c>
      <c r="G22" s="46">
        <f t="shared" si="33"/>
        <v>89380</v>
      </c>
      <c r="H22" s="46">
        <f t="shared" si="33"/>
        <v>1178103</v>
      </c>
      <c r="I22" s="46">
        <f t="shared" si="33"/>
        <v>0</v>
      </c>
      <c r="J22" s="46">
        <f t="shared" si="33"/>
        <v>1267483</v>
      </c>
      <c r="K22" s="46">
        <f t="shared" si="33"/>
        <v>2342380</v>
      </c>
      <c r="L22" s="46">
        <f t="shared" si="33"/>
        <v>14404343</v>
      </c>
      <c r="M22" s="46">
        <f t="shared" si="33"/>
        <v>0</v>
      </c>
      <c r="N22" s="46">
        <f t="shared" si="33"/>
        <v>16746723</v>
      </c>
      <c r="O22" s="46">
        <f t="shared" si="33"/>
        <v>0</v>
      </c>
      <c r="P22" s="46">
        <f t="shared" si="33"/>
        <v>0</v>
      </c>
      <c r="Q22" s="46">
        <f t="shared" si="33"/>
        <v>0</v>
      </c>
      <c r="R22" s="46">
        <f t="shared" si="33"/>
        <v>0</v>
      </c>
      <c r="S22" s="46">
        <f t="shared" si="33"/>
        <v>0</v>
      </c>
      <c r="T22" s="46">
        <f t="shared" si="33"/>
        <v>0</v>
      </c>
      <c r="U22" s="46">
        <f t="shared" si="33"/>
        <v>0</v>
      </c>
      <c r="V22" s="46">
        <f t="shared" si="33"/>
        <v>0</v>
      </c>
      <c r="W22" s="46">
        <f t="shared" si="33"/>
        <v>0</v>
      </c>
      <c r="X22" s="46">
        <f t="shared" si="33"/>
        <v>0</v>
      </c>
      <c r="Y22" s="46">
        <f t="shared" si="33"/>
        <v>0</v>
      </c>
      <c r="Z22" s="46">
        <f t="shared" si="33"/>
        <v>0</v>
      </c>
      <c r="AA22" s="46">
        <f t="shared" si="33"/>
        <v>2253000</v>
      </c>
      <c r="AB22" s="46">
        <f t="shared" si="33"/>
        <v>13226240</v>
      </c>
      <c r="AC22" s="46">
        <f t="shared" si="33"/>
        <v>0</v>
      </c>
      <c r="AD22" s="46">
        <f t="shared" si="33"/>
        <v>15479240</v>
      </c>
      <c r="AE22" s="46">
        <f t="shared" ref="AE22:AL22" si="34">SUM(AE20+AE21)</f>
        <v>89380</v>
      </c>
      <c r="AF22" s="46">
        <f t="shared" si="34"/>
        <v>1178103</v>
      </c>
      <c r="AG22" s="46">
        <f t="shared" si="34"/>
        <v>0</v>
      </c>
      <c r="AH22" s="46">
        <f t="shared" si="34"/>
        <v>1267483</v>
      </c>
      <c r="AI22" s="46">
        <f t="shared" si="34"/>
        <v>2342380</v>
      </c>
      <c r="AJ22" s="46">
        <f t="shared" si="34"/>
        <v>14404343</v>
      </c>
      <c r="AK22" s="46">
        <f t="shared" si="34"/>
        <v>0</v>
      </c>
      <c r="AL22" s="46">
        <f t="shared" si="34"/>
        <v>16746723</v>
      </c>
    </row>
    <row r="23" spans="1:38" ht="31.5" x14ac:dyDescent="0.25">
      <c r="A23" s="16" t="s">
        <v>293</v>
      </c>
      <c r="B23" s="16" t="s">
        <v>255</v>
      </c>
      <c r="C23" s="21">
        <v>200</v>
      </c>
      <c r="D23" s="20"/>
      <c r="E23" s="21"/>
      <c r="F23" s="28">
        <f>SUM(C23:E23)</f>
        <v>200</v>
      </c>
      <c r="G23" s="28"/>
      <c r="H23" s="28"/>
      <c r="I23" s="28"/>
      <c r="J23" s="28">
        <f>SUM(G23:I23)</f>
        <v>0</v>
      </c>
      <c r="K23" s="27">
        <f t="shared" ref="K23" si="35">SUM(G23+C23)</f>
        <v>200</v>
      </c>
      <c r="L23" s="28">
        <f t="shared" ref="L23" si="36">SUM(H23+D23)</f>
        <v>0</v>
      </c>
      <c r="M23" s="28">
        <f t="shared" ref="M23" si="37">SUM(I23+E23)</f>
        <v>0</v>
      </c>
      <c r="N23" s="28">
        <f t="shared" ref="N23" si="38">SUM(K23:M23)</f>
        <v>200</v>
      </c>
      <c r="O23" s="18"/>
      <c r="P23" s="18"/>
      <c r="Q23" s="18"/>
      <c r="R23" s="18"/>
      <c r="S23" s="18"/>
      <c r="T23" s="18"/>
      <c r="U23" s="18"/>
      <c r="V23" s="18">
        <f>SUM(S23:U23)</f>
        <v>0</v>
      </c>
      <c r="W23" s="18">
        <f>SUM(S23+O23)</f>
        <v>0</v>
      </c>
      <c r="X23" s="18">
        <f>SUM(T23+P23)</f>
        <v>0</v>
      </c>
      <c r="Y23" s="18">
        <f>SUM(Q23+U23)</f>
        <v>0</v>
      </c>
      <c r="Z23" s="18">
        <f>SUM(W23:Y23)</f>
        <v>0</v>
      </c>
      <c r="AA23" s="12">
        <f>SUM(O23+C23)</f>
        <v>200</v>
      </c>
      <c r="AB23" s="18">
        <f>SUM(P23+D23)</f>
        <v>0</v>
      </c>
      <c r="AC23" s="18">
        <f>SUM(Q23+E23)</f>
        <v>0</v>
      </c>
      <c r="AD23" s="18">
        <f>SUM(AA23:AC23)</f>
        <v>200</v>
      </c>
      <c r="AE23" s="12">
        <f t="shared" ref="AE23:AG23" si="39">SUM(S23+G23)</f>
        <v>0</v>
      </c>
      <c r="AF23" s="18">
        <f t="shared" si="39"/>
        <v>0</v>
      </c>
      <c r="AG23" s="18">
        <f t="shared" si="39"/>
        <v>0</v>
      </c>
      <c r="AH23" s="18">
        <f t="shared" ref="AH23" si="40">SUM(AE23:AG23)</f>
        <v>0</v>
      </c>
      <c r="AI23" s="12">
        <f t="shared" ref="AI23:AK23" si="41">SUM(W23+K23)</f>
        <v>200</v>
      </c>
      <c r="AJ23" s="18">
        <f t="shared" si="41"/>
        <v>0</v>
      </c>
      <c r="AK23" s="18">
        <f t="shared" si="41"/>
        <v>0</v>
      </c>
      <c r="AL23" s="18">
        <f t="shared" ref="AL23" si="42">SUM(AI23:AK23)</f>
        <v>200</v>
      </c>
    </row>
    <row r="24" spans="1:38" s="42" customFormat="1" x14ac:dyDescent="0.25">
      <c r="A24" s="22" t="s">
        <v>294</v>
      </c>
      <c r="B24" s="22" t="s">
        <v>254</v>
      </c>
      <c r="C24" s="23">
        <f>SUM(C23)</f>
        <v>200</v>
      </c>
      <c r="D24" s="23">
        <f t="shared" ref="D24:AD24" si="43">SUM(D23)</f>
        <v>0</v>
      </c>
      <c r="E24" s="23">
        <f t="shared" si="43"/>
        <v>0</v>
      </c>
      <c r="F24" s="23">
        <f t="shared" si="43"/>
        <v>200</v>
      </c>
      <c r="G24" s="23">
        <f t="shared" si="43"/>
        <v>0</v>
      </c>
      <c r="H24" s="23">
        <f t="shared" si="43"/>
        <v>0</v>
      </c>
      <c r="I24" s="23">
        <f t="shared" si="43"/>
        <v>0</v>
      </c>
      <c r="J24" s="23">
        <f t="shared" si="43"/>
        <v>0</v>
      </c>
      <c r="K24" s="23">
        <f t="shared" si="43"/>
        <v>200</v>
      </c>
      <c r="L24" s="23">
        <f t="shared" si="43"/>
        <v>0</v>
      </c>
      <c r="M24" s="23">
        <f t="shared" si="43"/>
        <v>0</v>
      </c>
      <c r="N24" s="23">
        <f t="shared" si="43"/>
        <v>200</v>
      </c>
      <c r="O24" s="23">
        <f t="shared" si="43"/>
        <v>0</v>
      </c>
      <c r="P24" s="23">
        <f t="shared" si="43"/>
        <v>0</v>
      </c>
      <c r="Q24" s="23">
        <f t="shared" si="43"/>
        <v>0</v>
      </c>
      <c r="R24" s="23">
        <f t="shared" si="43"/>
        <v>0</v>
      </c>
      <c r="S24" s="23">
        <f t="shared" si="43"/>
        <v>0</v>
      </c>
      <c r="T24" s="23">
        <f t="shared" si="43"/>
        <v>0</v>
      </c>
      <c r="U24" s="23">
        <f t="shared" si="43"/>
        <v>0</v>
      </c>
      <c r="V24" s="23">
        <f t="shared" si="43"/>
        <v>0</v>
      </c>
      <c r="W24" s="23">
        <f t="shared" si="43"/>
        <v>0</v>
      </c>
      <c r="X24" s="23">
        <f t="shared" si="43"/>
        <v>0</v>
      </c>
      <c r="Y24" s="23">
        <f t="shared" si="43"/>
        <v>0</v>
      </c>
      <c r="Z24" s="23">
        <f t="shared" si="43"/>
        <v>0</v>
      </c>
      <c r="AA24" s="23">
        <f t="shared" si="43"/>
        <v>200</v>
      </c>
      <c r="AB24" s="23">
        <f t="shared" si="43"/>
        <v>0</v>
      </c>
      <c r="AC24" s="23">
        <f t="shared" si="43"/>
        <v>0</v>
      </c>
      <c r="AD24" s="23">
        <f t="shared" si="43"/>
        <v>200</v>
      </c>
      <c r="AE24" s="23">
        <f t="shared" ref="AE24:AL24" si="44">SUM(AE23)</f>
        <v>0</v>
      </c>
      <c r="AF24" s="23">
        <f t="shared" si="44"/>
        <v>0</v>
      </c>
      <c r="AG24" s="23">
        <f t="shared" si="44"/>
        <v>0</v>
      </c>
      <c r="AH24" s="23">
        <f t="shared" si="44"/>
        <v>0</v>
      </c>
      <c r="AI24" s="23">
        <f t="shared" si="44"/>
        <v>200</v>
      </c>
      <c r="AJ24" s="23">
        <f t="shared" si="44"/>
        <v>0</v>
      </c>
      <c r="AK24" s="23">
        <f t="shared" si="44"/>
        <v>0</v>
      </c>
      <c r="AL24" s="23">
        <f t="shared" si="44"/>
        <v>200</v>
      </c>
    </row>
    <row r="25" spans="1:38" x14ac:dyDescent="0.25">
      <c r="A25" s="16" t="s">
        <v>471</v>
      </c>
      <c r="B25" s="16" t="s">
        <v>256</v>
      </c>
      <c r="C25" s="21">
        <v>1800000</v>
      </c>
      <c r="D25" s="20"/>
      <c r="E25" s="21"/>
      <c r="F25" s="19">
        <f>SUM(C25:E25)</f>
        <v>1800000</v>
      </c>
      <c r="G25" s="19"/>
      <c r="H25" s="19"/>
      <c r="I25" s="19"/>
      <c r="J25" s="19">
        <f>SUM(G25:I25)</f>
        <v>0</v>
      </c>
      <c r="K25" s="18">
        <f t="shared" ref="K25" si="45">SUM(G25+C25)</f>
        <v>1800000</v>
      </c>
      <c r="L25" s="19">
        <f t="shared" ref="L25" si="46">SUM(H25+D25)</f>
        <v>0</v>
      </c>
      <c r="M25" s="19">
        <f t="shared" ref="M25" si="47">SUM(I25+E25)</f>
        <v>0</v>
      </c>
      <c r="N25" s="19">
        <f t="shared" ref="N25" si="48">SUM(K25:M25)</f>
        <v>1800000</v>
      </c>
      <c r="O25" s="21"/>
      <c r="P25" s="21"/>
      <c r="Q25" s="21"/>
      <c r="R25" s="21">
        <f>SUM(O25:Q25)</f>
        <v>0</v>
      </c>
      <c r="S25" s="21"/>
      <c r="T25" s="21"/>
      <c r="U25" s="21"/>
      <c r="V25" s="21">
        <f>SUM(S25:U25)</f>
        <v>0</v>
      </c>
      <c r="W25" s="21">
        <f>SUM(S25+O25)</f>
        <v>0</v>
      </c>
      <c r="X25" s="21">
        <f>SUM(T25+P25)</f>
        <v>0</v>
      </c>
      <c r="Y25" s="21">
        <f>SUM(Q25+U25)</f>
        <v>0</v>
      </c>
      <c r="Z25" s="21">
        <f>SUM(W25:Y25)</f>
        <v>0</v>
      </c>
      <c r="AA25" s="12">
        <f>SUM(O25+C25)</f>
        <v>1800000</v>
      </c>
      <c r="AB25" s="21">
        <f>SUM(P25+D25)</f>
        <v>0</v>
      </c>
      <c r="AC25" s="21">
        <f>SUM(Q25+E25)</f>
        <v>0</v>
      </c>
      <c r="AD25" s="21">
        <f>SUM(AA25:AC25)</f>
        <v>1800000</v>
      </c>
      <c r="AE25" s="12">
        <f t="shared" ref="AE25:AG25" si="49">SUM(S25+G25)</f>
        <v>0</v>
      </c>
      <c r="AF25" s="21">
        <f t="shared" si="49"/>
        <v>0</v>
      </c>
      <c r="AG25" s="21">
        <f t="shared" si="49"/>
        <v>0</v>
      </c>
      <c r="AH25" s="21">
        <f t="shared" ref="AH25" si="50">SUM(AE25:AG25)</f>
        <v>0</v>
      </c>
      <c r="AI25" s="12">
        <f t="shared" ref="AI25:AK25" si="51">SUM(W25+K25)</f>
        <v>1800000</v>
      </c>
      <c r="AJ25" s="21">
        <f t="shared" si="51"/>
        <v>0</v>
      </c>
      <c r="AK25" s="21">
        <f t="shared" si="51"/>
        <v>0</v>
      </c>
      <c r="AL25" s="21">
        <f t="shared" ref="AL25" si="52">SUM(AI25:AK25)</f>
        <v>1800000</v>
      </c>
    </row>
    <row r="26" spans="1:38" s="25" customFormat="1" x14ac:dyDescent="0.25">
      <c r="A26" s="22" t="s">
        <v>398</v>
      </c>
      <c r="B26" s="22" t="s">
        <v>256</v>
      </c>
      <c r="C26" s="23">
        <f t="shared" ref="C26:AD26" si="53">SUM(C25:C25)</f>
        <v>1800000</v>
      </c>
      <c r="D26" s="23">
        <f t="shared" si="53"/>
        <v>0</v>
      </c>
      <c r="E26" s="23">
        <f t="shared" si="53"/>
        <v>0</v>
      </c>
      <c r="F26" s="23">
        <f t="shared" si="53"/>
        <v>1800000</v>
      </c>
      <c r="G26" s="23">
        <f t="shared" si="53"/>
        <v>0</v>
      </c>
      <c r="H26" s="23">
        <f t="shared" si="53"/>
        <v>0</v>
      </c>
      <c r="I26" s="23">
        <f t="shared" si="53"/>
        <v>0</v>
      </c>
      <c r="J26" s="23">
        <f t="shared" si="53"/>
        <v>0</v>
      </c>
      <c r="K26" s="23">
        <f t="shared" si="53"/>
        <v>1800000</v>
      </c>
      <c r="L26" s="23">
        <f t="shared" si="53"/>
        <v>0</v>
      </c>
      <c r="M26" s="23">
        <f t="shared" si="53"/>
        <v>0</v>
      </c>
      <c r="N26" s="23">
        <f t="shared" si="53"/>
        <v>1800000</v>
      </c>
      <c r="O26" s="23">
        <f t="shared" si="53"/>
        <v>0</v>
      </c>
      <c r="P26" s="23">
        <f t="shared" si="53"/>
        <v>0</v>
      </c>
      <c r="Q26" s="23">
        <f t="shared" si="53"/>
        <v>0</v>
      </c>
      <c r="R26" s="23">
        <f t="shared" si="53"/>
        <v>0</v>
      </c>
      <c r="S26" s="23">
        <f t="shared" si="53"/>
        <v>0</v>
      </c>
      <c r="T26" s="23">
        <f t="shared" si="53"/>
        <v>0</v>
      </c>
      <c r="U26" s="23">
        <f t="shared" si="53"/>
        <v>0</v>
      </c>
      <c r="V26" s="23">
        <f t="shared" si="53"/>
        <v>0</v>
      </c>
      <c r="W26" s="23">
        <f t="shared" si="53"/>
        <v>0</v>
      </c>
      <c r="X26" s="23">
        <f t="shared" si="53"/>
        <v>0</v>
      </c>
      <c r="Y26" s="23">
        <f t="shared" si="53"/>
        <v>0</v>
      </c>
      <c r="Z26" s="23">
        <f t="shared" si="53"/>
        <v>0</v>
      </c>
      <c r="AA26" s="23">
        <f t="shared" si="53"/>
        <v>1800000</v>
      </c>
      <c r="AB26" s="23">
        <f t="shared" si="53"/>
        <v>0</v>
      </c>
      <c r="AC26" s="23">
        <f t="shared" si="53"/>
        <v>0</v>
      </c>
      <c r="AD26" s="23">
        <f t="shared" si="53"/>
        <v>1800000</v>
      </c>
      <c r="AE26" s="23">
        <f t="shared" ref="AE26:AL26" si="54">SUM(AE25:AE25)</f>
        <v>0</v>
      </c>
      <c r="AF26" s="23">
        <f t="shared" si="54"/>
        <v>0</v>
      </c>
      <c r="AG26" s="23">
        <f t="shared" si="54"/>
        <v>0</v>
      </c>
      <c r="AH26" s="23">
        <f t="shared" si="54"/>
        <v>0</v>
      </c>
      <c r="AI26" s="23">
        <f t="shared" si="54"/>
        <v>1800000</v>
      </c>
      <c r="AJ26" s="23">
        <f t="shared" si="54"/>
        <v>0</v>
      </c>
      <c r="AK26" s="23">
        <f t="shared" si="54"/>
        <v>0</v>
      </c>
      <c r="AL26" s="23">
        <f t="shared" si="54"/>
        <v>1800000</v>
      </c>
    </row>
    <row r="27" spans="1:38" x14ac:dyDescent="0.25">
      <c r="A27" s="16" t="s">
        <v>399</v>
      </c>
      <c r="B27" s="16" t="s">
        <v>257</v>
      </c>
      <c r="C27" s="21">
        <v>12700000</v>
      </c>
      <c r="D27" s="20"/>
      <c r="E27" s="21"/>
      <c r="F27" s="19">
        <f>SUM(C27:E27)</f>
        <v>12700000</v>
      </c>
      <c r="G27" s="19"/>
      <c r="H27" s="19"/>
      <c r="I27" s="19"/>
      <c r="J27" s="19">
        <f>SUM(G27:I27)</f>
        <v>0</v>
      </c>
      <c r="K27" s="18">
        <f t="shared" ref="K27" si="55">SUM(G27+C27)</f>
        <v>12700000</v>
      </c>
      <c r="L27" s="19">
        <f t="shared" ref="L27" si="56">SUM(H27+D27)</f>
        <v>0</v>
      </c>
      <c r="M27" s="19">
        <f t="shared" ref="M27" si="57">SUM(I27+E27)</f>
        <v>0</v>
      </c>
      <c r="N27" s="19">
        <f t="shared" ref="N27" si="58">SUM(K27:M27)</f>
        <v>12700000</v>
      </c>
      <c r="O27" s="21"/>
      <c r="P27" s="21"/>
      <c r="Q27" s="21"/>
      <c r="R27" s="21">
        <f>SUM(O27:Q27)</f>
        <v>0</v>
      </c>
      <c r="S27" s="21"/>
      <c r="T27" s="21"/>
      <c r="U27" s="21"/>
      <c r="V27" s="21">
        <f>SUM(S27:U27)</f>
        <v>0</v>
      </c>
      <c r="W27" s="21">
        <f>SUM(S27+O27)</f>
        <v>0</v>
      </c>
      <c r="X27" s="21">
        <f>SUM(T27+P27)</f>
        <v>0</v>
      </c>
      <c r="Y27" s="21">
        <f>SUM(Q27+U27)</f>
        <v>0</v>
      </c>
      <c r="Z27" s="21">
        <f>SUM(W27:Y27)</f>
        <v>0</v>
      </c>
      <c r="AA27" s="12">
        <f>SUM(O27+C27)</f>
        <v>12700000</v>
      </c>
      <c r="AB27" s="21">
        <f>SUM(P27+D27)</f>
        <v>0</v>
      </c>
      <c r="AC27" s="21">
        <f>SUM(Q27+E27)</f>
        <v>0</v>
      </c>
      <c r="AD27" s="21">
        <f>SUM(AA27:AC27)</f>
        <v>12700000</v>
      </c>
      <c r="AE27" s="12">
        <f t="shared" ref="AE27:AG27" si="59">SUM(S27+G27)</f>
        <v>0</v>
      </c>
      <c r="AF27" s="21">
        <f t="shared" si="59"/>
        <v>0</v>
      </c>
      <c r="AG27" s="21">
        <f t="shared" si="59"/>
        <v>0</v>
      </c>
      <c r="AH27" s="21">
        <f t="shared" ref="AH27" si="60">SUM(AE27:AG27)</f>
        <v>0</v>
      </c>
      <c r="AI27" s="12">
        <f t="shared" ref="AI27:AK27" si="61">SUM(W27+K27)</f>
        <v>12700000</v>
      </c>
      <c r="AJ27" s="21">
        <f t="shared" si="61"/>
        <v>0</v>
      </c>
      <c r="AK27" s="21">
        <f t="shared" si="61"/>
        <v>0</v>
      </c>
      <c r="AL27" s="21">
        <f t="shared" ref="AL27" si="62">SUM(AI27:AK27)</f>
        <v>12700000</v>
      </c>
    </row>
    <row r="28" spans="1:38" s="42" customFormat="1" x14ac:dyDescent="0.25">
      <c r="A28" s="22" t="s">
        <v>400</v>
      </c>
      <c r="B28" s="22" t="s">
        <v>257</v>
      </c>
      <c r="C28" s="23">
        <f>SUM(C27)</f>
        <v>12700000</v>
      </c>
      <c r="D28" s="23">
        <f t="shared" ref="D28:AD28" si="63">SUM(D27)</f>
        <v>0</v>
      </c>
      <c r="E28" s="23">
        <f t="shared" si="63"/>
        <v>0</v>
      </c>
      <c r="F28" s="23">
        <f t="shared" si="63"/>
        <v>12700000</v>
      </c>
      <c r="G28" s="23">
        <f t="shared" si="63"/>
        <v>0</v>
      </c>
      <c r="H28" s="23">
        <f t="shared" si="63"/>
        <v>0</v>
      </c>
      <c r="I28" s="23">
        <f t="shared" si="63"/>
        <v>0</v>
      </c>
      <c r="J28" s="23">
        <f t="shared" si="63"/>
        <v>0</v>
      </c>
      <c r="K28" s="23">
        <f t="shared" si="63"/>
        <v>12700000</v>
      </c>
      <c r="L28" s="23">
        <f t="shared" si="63"/>
        <v>0</v>
      </c>
      <c r="M28" s="23">
        <f t="shared" si="63"/>
        <v>0</v>
      </c>
      <c r="N28" s="23">
        <f t="shared" si="63"/>
        <v>12700000</v>
      </c>
      <c r="O28" s="23">
        <f t="shared" si="63"/>
        <v>0</v>
      </c>
      <c r="P28" s="23">
        <f t="shared" si="63"/>
        <v>0</v>
      </c>
      <c r="Q28" s="23">
        <f t="shared" si="63"/>
        <v>0</v>
      </c>
      <c r="R28" s="23">
        <f t="shared" si="63"/>
        <v>0</v>
      </c>
      <c r="S28" s="23">
        <f t="shared" si="63"/>
        <v>0</v>
      </c>
      <c r="T28" s="23">
        <f t="shared" si="63"/>
        <v>0</v>
      </c>
      <c r="U28" s="23">
        <f t="shared" si="63"/>
        <v>0</v>
      </c>
      <c r="V28" s="23">
        <f t="shared" si="63"/>
        <v>0</v>
      </c>
      <c r="W28" s="23">
        <f t="shared" si="63"/>
        <v>0</v>
      </c>
      <c r="X28" s="23">
        <f t="shared" si="63"/>
        <v>0</v>
      </c>
      <c r="Y28" s="23">
        <f t="shared" si="63"/>
        <v>0</v>
      </c>
      <c r="Z28" s="23">
        <f t="shared" si="63"/>
        <v>0</v>
      </c>
      <c r="AA28" s="23">
        <f t="shared" si="63"/>
        <v>12700000</v>
      </c>
      <c r="AB28" s="23">
        <f t="shared" si="63"/>
        <v>0</v>
      </c>
      <c r="AC28" s="23">
        <f t="shared" si="63"/>
        <v>0</v>
      </c>
      <c r="AD28" s="23">
        <f t="shared" si="63"/>
        <v>12700000</v>
      </c>
      <c r="AE28" s="23">
        <f t="shared" ref="AE28:AL28" si="64">SUM(AE27)</f>
        <v>0</v>
      </c>
      <c r="AF28" s="23">
        <f t="shared" si="64"/>
        <v>0</v>
      </c>
      <c r="AG28" s="23">
        <f t="shared" si="64"/>
        <v>0</v>
      </c>
      <c r="AH28" s="23">
        <f t="shared" si="64"/>
        <v>0</v>
      </c>
      <c r="AI28" s="23">
        <f t="shared" si="64"/>
        <v>12700000</v>
      </c>
      <c r="AJ28" s="23">
        <f t="shared" si="64"/>
        <v>0</v>
      </c>
      <c r="AK28" s="23">
        <f t="shared" si="64"/>
        <v>0</v>
      </c>
      <c r="AL28" s="23">
        <f t="shared" si="64"/>
        <v>12700000</v>
      </c>
    </row>
    <row r="29" spans="1:38" s="42" customFormat="1" x14ac:dyDescent="0.25">
      <c r="A29" s="22" t="s">
        <v>401</v>
      </c>
      <c r="B29" s="22" t="s">
        <v>258</v>
      </c>
      <c r="C29" s="23">
        <v>350000</v>
      </c>
      <c r="D29" s="24"/>
      <c r="E29" s="23"/>
      <c r="F29" s="29">
        <f>SUM(C29:E29)</f>
        <v>350000</v>
      </c>
      <c r="G29" s="29"/>
      <c r="H29" s="29"/>
      <c r="I29" s="29"/>
      <c r="J29" s="29">
        <f>SUM(G29:I29)</f>
        <v>0</v>
      </c>
      <c r="K29" s="23">
        <f t="shared" ref="K29:K31" si="65">SUM(G29+C29)</f>
        <v>350000</v>
      </c>
      <c r="L29" s="29">
        <f t="shared" ref="L29:L31" si="66">SUM(H29+D29)</f>
        <v>0</v>
      </c>
      <c r="M29" s="29">
        <f t="shared" ref="M29:M31" si="67">SUM(I29+E29)</f>
        <v>0</v>
      </c>
      <c r="N29" s="29">
        <f t="shared" ref="N29:N31" si="68">SUM(K29:M29)</f>
        <v>350000</v>
      </c>
      <c r="O29" s="30"/>
      <c r="P29" s="30"/>
      <c r="Q29" s="30"/>
      <c r="R29" s="30"/>
      <c r="S29" s="30"/>
      <c r="T29" s="30"/>
      <c r="U29" s="30"/>
      <c r="V29" s="30">
        <f>SUM(S29:U29)</f>
        <v>0</v>
      </c>
      <c r="W29" s="30">
        <f t="shared" ref="W29:W31" si="69">SUM(S29+O29)</f>
        <v>0</v>
      </c>
      <c r="X29" s="30">
        <f t="shared" ref="X29:X31" si="70">SUM(T29+P29)</f>
        <v>0</v>
      </c>
      <c r="Y29" s="30">
        <f t="shared" ref="Y29:Y31" si="71">SUM(Q29+U29)</f>
        <v>0</v>
      </c>
      <c r="Z29" s="30">
        <f t="shared" ref="Z29:Z31" si="72">SUM(W29:Y29)</f>
        <v>0</v>
      </c>
      <c r="AA29" s="23">
        <f t="shared" ref="AA29:AC31" si="73">SUM(O29+C29)</f>
        <v>350000</v>
      </c>
      <c r="AB29" s="30">
        <f t="shared" si="73"/>
        <v>0</v>
      </c>
      <c r="AC29" s="30">
        <f t="shared" si="73"/>
        <v>0</v>
      </c>
      <c r="AD29" s="30">
        <f>SUM(AA29:AC29)</f>
        <v>350000</v>
      </c>
      <c r="AE29" s="23">
        <f t="shared" ref="AE29:AG31" si="74">SUM(S29+G29)</f>
        <v>0</v>
      </c>
      <c r="AF29" s="30">
        <f t="shared" si="74"/>
        <v>0</v>
      </c>
      <c r="AG29" s="30">
        <f t="shared" si="74"/>
        <v>0</v>
      </c>
      <c r="AH29" s="30">
        <f t="shared" ref="AH29:AH31" si="75">SUM(AE29:AG29)</f>
        <v>0</v>
      </c>
      <c r="AI29" s="23">
        <f t="shared" ref="AI29:AK31" si="76">SUM(W29+K29)</f>
        <v>350000</v>
      </c>
      <c r="AJ29" s="30">
        <f t="shared" si="76"/>
        <v>0</v>
      </c>
      <c r="AK29" s="30">
        <f t="shared" si="76"/>
        <v>0</v>
      </c>
      <c r="AL29" s="30">
        <f t="shared" ref="AL29:AL31" si="77">SUM(AI29:AK29)</f>
        <v>350000</v>
      </c>
    </row>
    <row r="30" spans="1:38" s="15" customFormat="1" x14ac:dyDescent="0.25">
      <c r="A30" s="16" t="s">
        <v>402</v>
      </c>
      <c r="B30" s="16" t="s">
        <v>259</v>
      </c>
      <c r="C30" s="11">
        <v>10000</v>
      </c>
      <c r="D30" s="9"/>
      <c r="E30" s="11"/>
      <c r="F30" s="10">
        <f>SUM(C30:E30)</f>
        <v>10000</v>
      </c>
      <c r="G30" s="10"/>
      <c r="H30" s="10"/>
      <c r="I30" s="10"/>
      <c r="J30" s="10">
        <f>SUM(G30:I30)</f>
        <v>0</v>
      </c>
      <c r="K30" s="11">
        <f t="shared" si="65"/>
        <v>10000</v>
      </c>
      <c r="L30" s="10">
        <f t="shared" si="66"/>
        <v>0</v>
      </c>
      <c r="M30" s="10">
        <f t="shared" si="67"/>
        <v>0</v>
      </c>
      <c r="N30" s="10">
        <f t="shared" si="68"/>
        <v>10000</v>
      </c>
      <c r="O30" s="11"/>
      <c r="P30" s="11"/>
      <c r="Q30" s="11"/>
      <c r="R30" s="11"/>
      <c r="S30" s="11"/>
      <c r="T30" s="11"/>
      <c r="U30" s="11"/>
      <c r="V30" s="11">
        <f>SUM(S30:U30)</f>
        <v>0</v>
      </c>
      <c r="W30" s="11">
        <f t="shared" si="69"/>
        <v>0</v>
      </c>
      <c r="X30" s="11">
        <f t="shared" si="70"/>
        <v>0</v>
      </c>
      <c r="Y30" s="11">
        <f t="shared" si="71"/>
        <v>0</v>
      </c>
      <c r="Z30" s="11">
        <f t="shared" si="72"/>
        <v>0</v>
      </c>
      <c r="AA30" s="11">
        <f t="shared" si="73"/>
        <v>10000</v>
      </c>
      <c r="AB30" s="11">
        <f t="shared" si="73"/>
        <v>0</v>
      </c>
      <c r="AC30" s="11">
        <f t="shared" si="73"/>
        <v>0</v>
      </c>
      <c r="AD30" s="11">
        <f>SUM(AA30:AC30)</f>
        <v>10000</v>
      </c>
      <c r="AE30" s="11">
        <f t="shared" si="74"/>
        <v>0</v>
      </c>
      <c r="AF30" s="11">
        <f t="shared" si="74"/>
        <v>0</v>
      </c>
      <c r="AG30" s="11">
        <f t="shared" si="74"/>
        <v>0</v>
      </c>
      <c r="AH30" s="11">
        <f t="shared" si="75"/>
        <v>0</v>
      </c>
      <c r="AI30" s="11">
        <f t="shared" si="76"/>
        <v>10000</v>
      </c>
      <c r="AJ30" s="11">
        <f t="shared" si="76"/>
        <v>0</v>
      </c>
      <c r="AK30" s="11">
        <f t="shared" si="76"/>
        <v>0</v>
      </c>
      <c r="AL30" s="11">
        <f t="shared" si="77"/>
        <v>10000</v>
      </c>
    </row>
    <row r="31" spans="1:38" x14ac:dyDescent="0.25">
      <c r="A31" s="16" t="s">
        <v>403</v>
      </c>
      <c r="B31" s="16" t="s">
        <v>259</v>
      </c>
      <c r="C31" s="21">
        <v>46000</v>
      </c>
      <c r="D31" s="20"/>
      <c r="E31" s="21"/>
      <c r="F31" s="19">
        <f>SUM(C31:E31)</f>
        <v>46000</v>
      </c>
      <c r="G31" s="19"/>
      <c r="H31" s="19"/>
      <c r="I31" s="19"/>
      <c r="J31" s="19">
        <f>SUM(G31:I31)</f>
        <v>0</v>
      </c>
      <c r="K31" s="18">
        <f t="shared" si="65"/>
        <v>46000</v>
      </c>
      <c r="L31" s="19">
        <f t="shared" si="66"/>
        <v>0</v>
      </c>
      <c r="M31" s="19">
        <f t="shared" si="67"/>
        <v>0</v>
      </c>
      <c r="N31" s="19">
        <f t="shared" si="68"/>
        <v>46000</v>
      </c>
      <c r="O31" s="21"/>
      <c r="P31" s="21"/>
      <c r="Q31" s="21"/>
      <c r="R31" s="21">
        <f>SUM(O31:Q31)</f>
        <v>0</v>
      </c>
      <c r="S31" s="21"/>
      <c r="T31" s="21"/>
      <c r="U31" s="21"/>
      <c r="V31" s="11">
        <f>SUM(S31:U31)</f>
        <v>0</v>
      </c>
      <c r="W31" s="21">
        <f t="shared" si="69"/>
        <v>0</v>
      </c>
      <c r="X31" s="21">
        <f t="shared" si="70"/>
        <v>0</v>
      </c>
      <c r="Y31" s="21">
        <f t="shared" si="71"/>
        <v>0</v>
      </c>
      <c r="Z31" s="21">
        <f t="shared" si="72"/>
        <v>0</v>
      </c>
      <c r="AA31" s="12">
        <f t="shared" si="73"/>
        <v>46000</v>
      </c>
      <c r="AB31" s="21">
        <f t="shared" si="73"/>
        <v>0</v>
      </c>
      <c r="AC31" s="21">
        <f t="shared" si="73"/>
        <v>0</v>
      </c>
      <c r="AD31" s="21">
        <f>SUM(AA31:AC31)</f>
        <v>46000</v>
      </c>
      <c r="AE31" s="12">
        <f t="shared" si="74"/>
        <v>0</v>
      </c>
      <c r="AF31" s="21">
        <f t="shared" si="74"/>
        <v>0</v>
      </c>
      <c r="AG31" s="21">
        <f t="shared" si="74"/>
        <v>0</v>
      </c>
      <c r="AH31" s="21">
        <f t="shared" si="75"/>
        <v>0</v>
      </c>
      <c r="AI31" s="12">
        <f t="shared" si="76"/>
        <v>46000</v>
      </c>
      <c r="AJ31" s="21">
        <f t="shared" si="76"/>
        <v>0</v>
      </c>
      <c r="AK31" s="21">
        <f t="shared" si="76"/>
        <v>0</v>
      </c>
      <c r="AL31" s="21">
        <f t="shared" si="77"/>
        <v>46000</v>
      </c>
    </row>
    <row r="32" spans="1:38" s="42" customFormat="1" ht="31.5" x14ac:dyDescent="0.25">
      <c r="A32" s="22" t="s">
        <v>404</v>
      </c>
      <c r="B32" s="22" t="s">
        <v>259</v>
      </c>
      <c r="C32" s="23">
        <f>SUM(C30:C31)</f>
        <v>56000</v>
      </c>
      <c r="D32" s="23">
        <f t="shared" ref="D32:AD32" si="78">SUM(D30:D31)</f>
        <v>0</v>
      </c>
      <c r="E32" s="23">
        <f t="shared" si="78"/>
        <v>0</v>
      </c>
      <c r="F32" s="23">
        <f>SUM(F30:F31)</f>
        <v>56000</v>
      </c>
      <c r="G32" s="23">
        <f t="shared" ref="G32:N32" si="79">SUM(G30:G31)</f>
        <v>0</v>
      </c>
      <c r="H32" s="23">
        <f t="shared" si="79"/>
        <v>0</v>
      </c>
      <c r="I32" s="23">
        <f t="shared" si="79"/>
        <v>0</v>
      </c>
      <c r="J32" s="23">
        <f t="shared" si="79"/>
        <v>0</v>
      </c>
      <c r="K32" s="23">
        <f t="shared" si="79"/>
        <v>56000</v>
      </c>
      <c r="L32" s="23">
        <f t="shared" si="79"/>
        <v>0</v>
      </c>
      <c r="M32" s="23">
        <f t="shared" si="79"/>
        <v>0</v>
      </c>
      <c r="N32" s="23">
        <f t="shared" si="79"/>
        <v>56000</v>
      </c>
      <c r="O32" s="23">
        <f t="shared" si="78"/>
        <v>0</v>
      </c>
      <c r="P32" s="23">
        <f t="shared" si="78"/>
        <v>0</v>
      </c>
      <c r="Q32" s="23">
        <f t="shared" si="78"/>
        <v>0</v>
      </c>
      <c r="R32" s="23">
        <f t="shared" si="78"/>
        <v>0</v>
      </c>
      <c r="S32" s="23">
        <f t="shared" ref="S32:Z32" si="80">SUM(S30:S31)</f>
        <v>0</v>
      </c>
      <c r="T32" s="23">
        <f t="shared" si="80"/>
        <v>0</v>
      </c>
      <c r="U32" s="23">
        <f t="shared" si="80"/>
        <v>0</v>
      </c>
      <c r="V32" s="23">
        <f t="shared" si="80"/>
        <v>0</v>
      </c>
      <c r="W32" s="23">
        <f t="shared" si="80"/>
        <v>0</v>
      </c>
      <c r="X32" s="23">
        <f t="shared" si="80"/>
        <v>0</v>
      </c>
      <c r="Y32" s="23">
        <f t="shared" si="80"/>
        <v>0</v>
      </c>
      <c r="Z32" s="23">
        <f t="shared" si="80"/>
        <v>0</v>
      </c>
      <c r="AA32" s="23">
        <f t="shared" si="78"/>
        <v>56000</v>
      </c>
      <c r="AB32" s="23">
        <f t="shared" si="78"/>
        <v>0</v>
      </c>
      <c r="AC32" s="23">
        <f t="shared" si="78"/>
        <v>0</v>
      </c>
      <c r="AD32" s="23">
        <f t="shared" si="78"/>
        <v>56000</v>
      </c>
      <c r="AE32" s="23">
        <f t="shared" ref="AE32:AL32" si="81">SUM(AE30:AE31)</f>
        <v>0</v>
      </c>
      <c r="AF32" s="23">
        <f t="shared" si="81"/>
        <v>0</v>
      </c>
      <c r="AG32" s="23">
        <f t="shared" si="81"/>
        <v>0</v>
      </c>
      <c r="AH32" s="23">
        <f t="shared" si="81"/>
        <v>0</v>
      </c>
      <c r="AI32" s="23">
        <f t="shared" si="81"/>
        <v>56000</v>
      </c>
      <c r="AJ32" s="23">
        <f t="shared" si="81"/>
        <v>0</v>
      </c>
      <c r="AK32" s="23">
        <f t="shared" si="81"/>
        <v>0</v>
      </c>
      <c r="AL32" s="23">
        <f t="shared" si="81"/>
        <v>56000</v>
      </c>
    </row>
    <row r="33" spans="1:38" s="42" customFormat="1" ht="31.5" x14ac:dyDescent="0.25">
      <c r="A33" s="22" t="s">
        <v>405</v>
      </c>
      <c r="B33" s="22" t="s">
        <v>260</v>
      </c>
      <c r="C33" s="23">
        <f>SUM(C32+C29+C28)</f>
        <v>13106000</v>
      </c>
      <c r="D33" s="23">
        <f t="shared" ref="D33:AD33" si="82">SUM(D32+D29+D28)</f>
        <v>0</v>
      </c>
      <c r="E33" s="23">
        <f t="shared" si="82"/>
        <v>0</v>
      </c>
      <c r="F33" s="23">
        <f t="shared" si="82"/>
        <v>13106000</v>
      </c>
      <c r="G33" s="23">
        <f t="shared" ref="G33:N33" si="83">SUM(G32+G29+G28)</f>
        <v>0</v>
      </c>
      <c r="H33" s="23">
        <f t="shared" si="83"/>
        <v>0</v>
      </c>
      <c r="I33" s="23">
        <f t="shared" si="83"/>
        <v>0</v>
      </c>
      <c r="J33" s="23">
        <f t="shared" si="83"/>
        <v>0</v>
      </c>
      <c r="K33" s="23">
        <f t="shared" si="83"/>
        <v>13106000</v>
      </c>
      <c r="L33" s="23">
        <f t="shared" si="83"/>
        <v>0</v>
      </c>
      <c r="M33" s="23">
        <f t="shared" si="83"/>
        <v>0</v>
      </c>
      <c r="N33" s="23">
        <f t="shared" si="83"/>
        <v>13106000</v>
      </c>
      <c r="O33" s="23">
        <f t="shared" si="82"/>
        <v>0</v>
      </c>
      <c r="P33" s="23">
        <f t="shared" si="82"/>
        <v>0</v>
      </c>
      <c r="Q33" s="23">
        <f t="shared" si="82"/>
        <v>0</v>
      </c>
      <c r="R33" s="23">
        <f t="shared" si="82"/>
        <v>0</v>
      </c>
      <c r="S33" s="23">
        <f t="shared" ref="S33:Z33" si="84">SUM(S32+S29+S28)</f>
        <v>0</v>
      </c>
      <c r="T33" s="23">
        <f t="shared" si="84"/>
        <v>0</v>
      </c>
      <c r="U33" s="23">
        <f t="shared" si="84"/>
        <v>0</v>
      </c>
      <c r="V33" s="23">
        <f t="shared" si="84"/>
        <v>0</v>
      </c>
      <c r="W33" s="23">
        <f t="shared" si="84"/>
        <v>0</v>
      </c>
      <c r="X33" s="23">
        <f t="shared" si="84"/>
        <v>0</v>
      </c>
      <c r="Y33" s="23">
        <f t="shared" si="84"/>
        <v>0</v>
      </c>
      <c r="Z33" s="23">
        <f t="shared" si="84"/>
        <v>0</v>
      </c>
      <c r="AA33" s="23">
        <f t="shared" si="82"/>
        <v>13106000</v>
      </c>
      <c r="AB33" s="23">
        <f t="shared" si="82"/>
        <v>0</v>
      </c>
      <c r="AC33" s="23">
        <f t="shared" si="82"/>
        <v>0</v>
      </c>
      <c r="AD33" s="23">
        <f t="shared" si="82"/>
        <v>13106000</v>
      </c>
      <c r="AE33" s="23">
        <f t="shared" ref="AE33:AL33" si="85">SUM(AE32+AE29+AE28)</f>
        <v>0</v>
      </c>
      <c r="AF33" s="23">
        <f t="shared" si="85"/>
        <v>0</v>
      </c>
      <c r="AG33" s="23">
        <f t="shared" si="85"/>
        <v>0</v>
      </c>
      <c r="AH33" s="23">
        <f t="shared" si="85"/>
        <v>0</v>
      </c>
      <c r="AI33" s="23">
        <f t="shared" si="85"/>
        <v>13106000</v>
      </c>
      <c r="AJ33" s="23">
        <f t="shared" si="85"/>
        <v>0</v>
      </c>
      <c r="AK33" s="23">
        <f t="shared" si="85"/>
        <v>0</v>
      </c>
      <c r="AL33" s="23">
        <f t="shared" si="85"/>
        <v>13106000</v>
      </c>
    </row>
    <row r="34" spans="1:38" s="15" customFormat="1" x14ac:dyDescent="0.25">
      <c r="A34" s="16" t="s">
        <v>406</v>
      </c>
      <c r="B34" s="16" t="s">
        <v>261</v>
      </c>
      <c r="C34" s="18"/>
      <c r="D34" s="17"/>
      <c r="E34" s="18"/>
      <c r="F34" s="19">
        <f t="shared" ref="F34:F39" si="86">SUM(C34:E34)</f>
        <v>0</v>
      </c>
      <c r="G34" s="19"/>
      <c r="H34" s="19"/>
      <c r="I34" s="19"/>
      <c r="J34" s="19">
        <f>SUM(G34:I34)</f>
        <v>0</v>
      </c>
      <c r="K34" s="18">
        <f t="shared" ref="K34:K39" si="87">SUM(G34+C34)</f>
        <v>0</v>
      </c>
      <c r="L34" s="19">
        <f t="shared" ref="L34:L39" si="88">SUM(H34+D34)</f>
        <v>0</v>
      </c>
      <c r="M34" s="19">
        <f t="shared" ref="M34:M39" si="89">SUM(I34+E34)</f>
        <v>0</v>
      </c>
      <c r="N34" s="19">
        <f t="shared" ref="N34:N39" si="90">SUM(K34:M34)</f>
        <v>0</v>
      </c>
      <c r="O34" s="18"/>
      <c r="P34" s="18"/>
      <c r="Q34" s="18">
        <v>989</v>
      </c>
      <c r="R34" s="18">
        <f>SUM(O34:Q34)</f>
        <v>989</v>
      </c>
      <c r="S34" s="18"/>
      <c r="T34" s="18"/>
      <c r="U34" s="18"/>
      <c r="V34" s="18">
        <f>SUM(S34:U34)</f>
        <v>0</v>
      </c>
      <c r="W34" s="18">
        <f t="shared" ref="W34:W39" si="91">SUM(S34+O34)</f>
        <v>0</v>
      </c>
      <c r="X34" s="18">
        <f t="shared" ref="X34:X39" si="92">SUM(T34+P34)</f>
        <v>0</v>
      </c>
      <c r="Y34" s="18">
        <f t="shared" ref="Y34:Y39" si="93">SUM(Q34+U34)</f>
        <v>989</v>
      </c>
      <c r="Z34" s="18">
        <f t="shared" ref="Z34:Z39" si="94">SUM(W34:Y34)</f>
        <v>989</v>
      </c>
      <c r="AA34" s="11">
        <f t="shared" ref="AA34:AC39" si="95">SUM(O34+C34)</f>
        <v>0</v>
      </c>
      <c r="AB34" s="18">
        <f t="shared" si="95"/>
        <v>0</v>
      </c>
      <c r="AC34" s="18">
        <f t="shared" si="95"/>
        <v>989</v>
      </c>
      <c r="AD34" s="18">
        <f t="shared" ref="AD34:AD39" si="96">SUM(AA34:AC34)</f>
        <v>989</v>
      </c>
      <c r="AE34" s="11">
        <f t="shared" ref="AE34:AG39" si="97">SUM(S34+G34)</f>
        <v>0</v>
      </c>
      <c r="AF34" s="18">
        <f t="shared" si="97"/>
        <v>0</v>
      </c>
      <c r="AG34" s="18">
        <f t="shared" si="97"/>
        <v>0</v>
      </c>
      <c r="AH34" s="18">
        <f t="shared" ref="AH34:AH39" si="98">SUM(AE34:AG34)</f>
        <v>0</v>
      </c>
      <c r="AI34" s="11">
        <f t="shared" ref="AI34:AK39" si="99">SUM(W34+K34)</f>
        <v>0</v>
      </c>
      <c r="AJ34" s="18">
        <f t="shared" si="99"/>
        <v>0</v>
      </c>
      <c r="AK34" s="18">
        <f t="shared" si="99"/>
        <v>989</v>
      </c>
      <c r="AL34" s="18">
        <f t="shared" ref="AL34:AL39" si="100">SUM(AI34:AK34)</f>
        <v>989</v>
      </c>
    </row>
    <row r="35" spans="1:38" s="15" customFormat="1" x14ac:dyDescent="0.25">
      <c r="A35" s="16" t="s">
        <v>407</v>
      </c>
      <c r="B35" s="16" t="s">
        <v>261</v>
      </c>
      <c r="C35" s="11">
        <v>714</v>
      </c>
      <c r="D35" s="9"/>
      <c r="E35" s="11"/>
      <c r="F35" s="10">
        <f t="shared" si="86"/>
        <v>714</v>
      </c>
      <c r="G35" s="10"/>
      <c r="H35" s="10"/>
      <c r="I35" s="10"/>
      <c r="J35" s="10">
        <f>SUM(G35:I35)</f>
        <v>0</v>
      </c>
      <c r="K35" s="11">
        <f t="shared" si="87"/>
        <v>714</v>
      </c>
      <c r="L35" s="10">
        <f t="shared" si="88"/>
        <v>0</v>
      </c>
      <c r="M35" s="10">
        <f t="shared" si="89"/>
        <v>0</v>
      </c>
      <c r="N35" s="10">
        <f t="shared" si="90"/>
        <v>714</v>
      </c>
      <c r="O35" s="11"/>
      <c r="P35" s="11"/>
      <c r="Q35" s="11"/>
      <c r="R35" s="11"/>
      <c r="S35" s="11"/>
      <c r="T35" s="11"/>
      <c r="U35" s="11"/>
      <c r="V35" s="18">
        <f t="shared" ref="V35:V39" si="101">SUM(S35:U35)</f>
        <v>0</v>
      </c>
      <c r="W35" s="11">
        <f t="shared" si="91"/>
        <v>0</v>
      </c>
      <c r="X35" s="11">
        <f t="shared" si="92"/>
        <v>0</v>
      </c>
      <c r="Y35" s="11">
        <f t="shared" si="93"/>
        <v>0</v>
      </c>
      <c r="Z35" s="11">
        <f t="shared" si="94"/>
        <v>0</v>
      </c>
      <c r="AA35" s="11">
        <f t="shared" si="95"/>
        <v>714</v>
      </c>
      <c r="AB35" s="11">
        <f t="shared" si="95"/>
        <v>0</v>
      </c>
      <c r="AC35" s="11">
        <f t="shared" si="95"/>
        <v>0</v>
      </c>
      <c r="AD35" s="11">
        <f t="shared" si="96"/>
        <v>714</v>
      </c>
      <c r="AE35" s="11">
        <f t="shared" si="97"/>
        <v>0</v>
      </c>
      <c r="AF35" s="11">
        <f t="shared" si="97"/>
        <v>0</v>
      </c>
      <c r="AG35" s="11">
        <f t="shared" si="97"/>
        <v>0</v>
      </c>
      <c r="AH35" s="11">
        <f t="shared" si="98"/>
        <v>0</v>
      </c>
      <c r="AI35" s="11">
        <f t="shared" si="99"/>
        <v>714</v>
      </c>
      <c r="AJ35" s="11">
        <f t="shared" si="99"/>
        <v>0</v>
      </c>
      <c r="AK35" s="11">
        <f t="shared" si="99"/>
        <v>0</v>
      </c>
      <c r="AL35" s="11">
        <f t="shared" si="100"/>
        <v>714</v>
      </c>
    </row>
    <row r="36" spans="1:38" s="15" customFormat="1" x14ac:dyDescent="0.25">
      <c r="A36" s="16" t="s">
        <v>408</v>
      </c>
      <c r="B36" s="16" t="s">
        <v>261</v>
      </c>
      <c r="C36" s="11"/>
      <c r="D36" s="9"/>
      <c r="E36" s="11"/>
      <c r="F36" s="10">
        <f t="shared" si="86"/>
        <v>0</v>
      </c>
      <c r="G36" s="10"/>
      <c r="H36" s="10"/>
      <c r="I36" s="10"/>
      <c r="J36" s="10">
        <f t="shared" ref="J36:J39" si="102">SUM(G36:I36)</f>
        <v>0</v>
      </c>
      <c r="K36" s="11">
        <f t="shared" si="87"/>
        <v>0</v>
      </c>
      <c r="L36" s="10">
        <f t="shared" si="88"/>
        <v>0</v>
      </c>
      <c r="M36" s="10">
        <f t="shared" si="89"/>
        <v>0</v>
      </c>
      <c r="N36" s="10">
        <f t="shared" si="90"/>
        <v>0</v>
      </c>
      <c r="O36" s="11"/>
      <c r="P36" s="11"/>
      <c r="Q36" s="11"/>
      <c r="R36" s="11"/>
      <c r="S36" s="11"/>
      <c r="T36" s="11"/>
      <c r="U36" s="11"/>
      <c r="V36" s="18">
        <f t="shared" si="101"/>
        <v>0</v>
      </c>
      <c r="W36" s="11">
        <f t="shared" si="91"/>
        <v>0</v>
      </c>
      <c r="X36" s="11">
        <f t="shared" si="92"/>
        <v>0</v>
      </c>
      <c r="Y36" s="11">
        <f t="shared" si="93"/>
        <v>0</v>
      </c>
      <c r="Z36" s="11">
        <f t="shared" si="94"/>
        <v>0</v>
      </c>
      <c r="AA36" s="11">
        <f t="shared" si="95"/>
        <v>0</v>
      </c>
      <c r="AB36" s="11">
        <f t="shared" si="95"/>
        <v>0</v>
      </c>
      <c r="AC36" s="11">
        <f t="shared" si="95"/>
        <v>0</v>
      </c>
      <c r="AD36" s="11">
        <f t="shared" si="96"/>
        <v>0</v>
      </c>
      <c r="AE36" s="11">
        <f t="shared" si="97"/>
        <v>0</v>
      </c>
      <c r="AF36" s="11">
        <f t="shared" si="97"/>
        <v>0</v>
      </c>
      <c r="AG36" s="11">
        <f t="shared" si="97"/>
        <v>0</v>
      </c>
      <c r="AH36" s="11">
        <f t="shared" si="98"/>
        <v>0</v>
      </c>
      <c r="AI36" s="11">
        <f t="shared" si="99"/>
        <v>0</v>
      </c>
      <c r="AJ36" s="11">
        <f t="shared" si="99"/>
        <v>0</v>
      </c>
      <c r="AK36" s="11">
        <f t="shared" si="99"/>
        <v>0</v>
      </c>
      <c r="AL36" s="11">
        <f t="shared" si="100"/>
        <v>0</v>
      </c>
    </row>
    <row r="37" spans="1:38" s="15" customFormat="1" x14ac:dyDescent="0.25">
      <c r="A37" s="16" t="s">
        <v>409</v>
      </c>
      <c r="B37" s="16" t="s">
        <v>261</v>
      </c>
      <c r="C37" s="27">
        <v>50000</v>
      </c>
      <c r="D37" s="26"/>
      <c r="E37" s="27"/>
      <c r="F37" s="28">
        <f t="shared" si="86"/>
        <v>50000</v>
      </c>
      <c r="G37" s="28"/>
      <c r="H37" s="28"/>
      <c r="I37" s="28"/>
      <c r="J37" s="10">
        <f t="shared" si="102"/>
        <v>0</v>
      </c>
      <c r="K37" s="27">
        <f t="shared" si="87"/>
        <v>50000</v>
      </c>
      <c r="L37" s="28">
        <f t="shared" si="88"/>
        <v>0</v>
      </c>
      <c r="M37" s="28">
        <f t="shared" si="89"/>
        <v>0</v>
      </c>
      <c r="N37" s="28">
        <f t="shared" si="90"/>
        <v>50000</v>
      </c>
      <c r="O37" s="11"/>
      <c r="P37" s="11"/>
      <c r="Q37" s="11"/>
      <c r="R37" s="11"/>
      <c r="S37" s="11"/>
      <c r="T37" s="11"/>
      <c r="U37" s="11"/>
      <c r="V37" s="18">
        <f t="shared" si="101"/>
        <v>0</v>
      </c>
      <c r="W37" s="11">
        <f t="shared" si="91"/>
        <v>0</v>
      </c>
      <c r="X37" s="11">
        <f t="shared" si="92"/>
        <v>0</v>
      </c>
      <c r="Y37" s="11">
        <f t="shared" si="93"/>
        <v>0</v>
      </c>
      <c r="Z37" s="11">
        <f t="shared" si="94"/>
        <v>0</v>
      </c>
      <c r="AA37" s="11">
        <f t="shared" si="95"/>
        <v>50000</v>
      </c>
      <c r="AB37" s="11">
        <f t="shared" si="95"/>
        <v>0</v>
      </c>
      <c r="AC37" s="11">
        <f t="shared" si="95"/>
        <v>0</v>
      </c>
      <c r="AD37" s="11">
        <f t="shared" si="96"/>
        <v>50000</v>
      </c>
      <c r="AE37" s="11">
        <f t="shared" si="97"/>
        <v>0</v>
      </c>
      <c r="AF37" s="11">
        <f t="shared" si="97"/>
        <v>0</v>
      </c>
      <c r="AG37" s="11">
        <f t="shared" si="97"/>
        <v>0</v>
      </c>
      <c r="AH37" s="11">
        <f t="shared" si="98"/>
        <v>0</v>
      </c>
      <c r="AI37" s="11">
        <f t="shared" si="99"/>
        <v>50000</v>
      </c>
      <c r="AJ37" s="11">
        <f t="shared" si="99"/>
        <v>0</v>
      </c>
      <c r="AK37" s="11">
        <f t="shared" si="99"/>
        <v>0</v>
      </c>
      <c r="AL37" s="11">
        <f t="shared" si="100"/>
        <v>50000</v>
      </c>
    </row>
    <row r="38" spans="1:38" s="15" customFormat="1" ht="31.5" x14ac:dyDescent="0.25">
      <c r="A38" s="16" t="s">
        <v>410</v>
      </c>
      <c r="B38" s="16" t="s">
        <v>261</v>
      </c>
      <c r="C38" s="27">
        <v>85146</v>
      </c>
      <c r="D38" s="26"/>
      <c r="E38" s="27"/>
      <c r="F38" s="28">
        <f t="shared" si="86"/>
        <v>85146</v>
      </c>
      <c r="G38" s="28"/>
      <c r="H38" s="28"/>
      <c r="I38" s="28"/>
      <c r="J38" s="10">
        <f t="shared" si="102"/>
        <v>0</v>
      </c>
      <c r="K38" s="27">
        <f t="shared" si="87"/>
        <v>85146</v>
      </c>
      <c r="L38" s="28">
        <f t="shared" si="88"/>
        <v>0</v>
      </c>
      <c r="M38" s="28">
        <f t="shared" si="89"/>
        <v>0</v>
      </c>
      <c r="N38" s="28">
        <f t="shared" si="90"/>
        <v>85146</v>
      </c>
      <c r="O38" s="11"/>
      <c r="P38" s="11"/>
      <c r="Q38" s="11"/>
      <c r="R38" s="11"/>
      <c r="S38" s="11"/>
      <c r="T38" s="11"/>
      <c r="U38" s="11"/>
      <c r="V38" s="18">
        <f t="shared" si="101"/>
        <v>0</v>
      </c>
      <c r="W38" s="11">
        <f t="shared" si="91"/>
        <v>0</v>
      </c>
      <c r="X38" s="11">
        <f t="shared" si="92"/>
        <v>0</v>
      </c>
      <c r="Y38" s="11">
        <f t="shared" si="93"/>
        <v>0</v>
      </c>
      <c r="Z38" s="11">
        <f t="shared" si="94"/>
        <v>0</v>
      </c>
      <c r="AA38" s="11">
        <f t="shared" si="95"/>
        <v>85146</v>
      </c>
      <c r="AB38" s="11">
        <f t="shared" si="95"/>
        <v>0</v>
      </c>
      <c r="AC38" s="11">
        <f t="shared" si="95"/>
        <v>0</v>
      </c>
      <c r="AD38" s="11">
        <f t="shared" si="96"/>
        <v>85146</v>
      </c>
      <c r="AE38" s="11">
        <f t="shared" si="97"/>
        <v>0</v>
      </c>
      <c r="AF38" s="11">
        <f t="shared" si="97"/>
        <v>0</v>
      </c>
      <c r="AG38" s="11">
        <f t="shared" si="97"/>
        <v>0</v>
      </c>
      <c r="AH38" s="11">
        <f t="shared" si="98"/>
        <v>0</v>
      </c>
      <c r="AI38" s="11">
        <f t="shared" si="99"/>
        <v>85146</v>
      </c>
      <c r="AJ38" s="11">
        <f t="shared" si="99"/>
        <v>0</v>
      </c>
      <c r="AK38" s="11">
        <f t="shared" si="99"/>
        <v>0</v>
      </c>
      <c r="AL38" s="11">
        <f t="shared" si="100"/>
        <v>85146</v>
      </c>
    </row>
    <row r="39" spans="1:38" s="15" customFormat="1" x14ac:dyDescent="0.25">
      <c r="A39" s="16" t="s">
        <v>411</v>
      </c>
      <c r="B39" s="16" t="s">
        <v>261</v>
      </c>
      <c r="C39" s="27">
        <v>5000</v>
      </c>
      <c r="D39" s="26"/>
      <c r="E39" s="27"/>
      <c r="F39" s="28">
        <f t="shared" si="86"/>
        <v>5000</v>
      </c>
      <c r="G39" s="28"/>
      <c r="H39" s="28"/>
      <c r="I39" s="28"/>
      <c r="J39" s="10">
        <f t="shared" si="102"/>
        <v>0</v>
      </c>
      <c r="K39" s="27">
        <f t="shared" si="87"/>
        <v>5000</v>
      </c>
      <c r="L39" s="28">
        <f t="shared" si="88"/>
        <v>0</v>
      </c>
      <c r="M39" s="28">
        <f t="shared" si="89"/>
        <v>0</v>
      </c>
      <c r="N39" s="28">
        <f t="shared" si="90"/>
        <v>5000</v>
      </c>
      <c r="O39" s="11"/>
      <c r="P39" s="11"/>
      <c r="Q39" s="11"/>
      <c r="R39" s="11"/>
      <c r="S39" s="11"/>
      <c r="T39" s="11"/>
      <c r="U39" s="11"/>
      <c r="V39" s="18">
        <f t="shared" si="101"/>
        <v>0</v>
      </c>
      <c r="W39" s="11">
        <f t="shared" si="91"/>
        <v>0</v>
      </c>
      <c r="X39" s="11">
        <f t="shared" si="92"/>
        <v>0</v>
      </c>
      <c r="Y39" s="11">
        <f t="shared" si="93"/>
        <v>0</v>
      </c>
      <c r="Z39" s="11">
        <f t="shared" si="94"/>
        <v>0</v>
      </c>
      <c r="AA39" s="11">
        <f t="shared" si="95"/>
        <v>5000</v>
      </c>
      <c r="AB39" s="11">
        <f t="shared" si="95"/>
        <v>0</v>
      </c>
      <c r="AC39" s="11">
        <f t="shared" si="95"/>
        <v>0</v>
      </c>
      <c r="AD39" s="11">
        <f t="shared" si="96"/>
        <v>5000</v>
      </c>
      <c r="AE39" s="11">
        <f t="shared" si="97"/>
        <v>0</v>
      </c>
      <c r="AF39" s="11">
        <f t="shared" si="97"/>
        <v>0</v>
      </c>
      <c r="AG39" s="11">
        <f t="shared" si="97"/>
        <v>0</v>
      </c>
      <c r="AH39" s="11">
        <f t="shared" si="98"/>
        <v>0</v>
      </c>
      <c r="AI39" s="11">
        <f t="shared" si="99"/>
        <v>5000</v>
      </c>
      <c r="AJ39" s="11">
        <f t="shared" si="99"/>
        <v>0</v>
      </c>
      <c r="AK39" s="11">
        <f t="shared" si="99"/>
        <v>0</v>
      </c>
      <c r="AL39" s="11">
        <f t="shared" si="100"/>
        <v>5000</v>
      </c>
    </row>
    <row r="40" spans="1:38" s="42" customFormat="1" ht="31.5" x14ac:dyDescent="0.25">
      <c r="A40" s="22" t="s">
        <v>412</v>
      </c>
      <c r="B40" s="22" t="s">
        <v>261</v>
      </c>
      <c r="C40" s="23">
        <f>SUM(C34:C39)</f>
        <v>140860</v>
      </c>
      <c r="D40" s="23">
        <f t="shared" ref="D40:AD40" si="103">SUM(D34:D39)</f>
        <v>0</v>
      </c>
      <c r="E40" s="23">
        <f t="shared" si="103"/>
        <v>0</v>
      </c>
      <c r="F40" s="23">
        <f t="shared" si="103"/>
        <v>140860</v>
      </c>
      <c r="G40" s="23">
        <f t="shared" ref="G40:N40" si="104">SUM(G34:G39)</f>
        <v>0</v>
      </c>
      <c r="H40" s="23">
        <f t="shared" si="104"/>
        <v>0</v>
      </c>
      <c r="I40" s="23">
        <f t="shared" si="104"/>
        <v>0</v>
      </c>
      <c r="J40" s="23">
        <f t="shared" si="104"/>
        <v>0</v>
      </c>
      <c r="K40" s="23">
        <f t="shared" si="104"/>
        <v>140860</v>
      </c>
      <c r="L40" s="23">
        <f t="shared" si="104"/>
        <v>0</v>
      </c>
      <c r="M40" s="23">
        <f t="shared" si="104"/>
        <v>0</v>
      </c>
      <c r="N40" s="23">
        <f t="shared" si="104"/>
        <v>140860</v>
      </c>
      <c r="O40" s="23">
        <f t="shared" si="103"/>
        <v>0</v>
      </c>
      <c r="P40" s="23">
        <f t="shared" si="103"/>
        <v>0</v>
      </c>
      <c r="Q40" s="23">
        <f t="shared" si="103"/>
        <v>989</v>
      </c>
      <c r="R40" s="23">
        <f t="shared" si="103"/>
        <v>989</v>
      </c>
      <c r="S40" s="23">
        <f t="shared" ref="S40:Z40" si="105">SUM(S34:S39)</f>
        <v>0</v>
      </c>
      <c r="T40" s="23">
        <f t="shared" si="105"/>
        <v>0</v>
      </c>
      <c r="U40" s="23">
        <f t="shared" si="105"/>
        <v>0</v>
      </c>
      <c r="V40" s="23">
        <f t="shared" si="105"/>
        <v>0</v>
      </c>
      <c r="W40" s="23">
        <f t="shared" si="105"/>
        <v>0</v>
      </c>
      <c r="X40" s="23">
        <f t="shared" si="105"/>
        <v>0</v>
      </c>
      <c r="Y40" s="23">
        <f t="shared" si="105"/>
        <v>989</v>
      </c>
      <c r="Z40" s="23">
        <f t="shared" si="105"/>
        <v>989</v>
      </c>
      <c r="AA40" s="23">
        <f t="shared" si="103"/>
        <v>140860</v>
      </c>
      <c r="AB40" s="23">
        <f t="shared" si="103"/>
        <v>0</v>
      </c>
      <c r="AC40" s="23">
        <f t="shared" si="103"/>
        <v>989</v>
      </c>
      <c r="AD40" s="23">
        <f t="shared" si="103"/>
        <v>141849</v>
      </c>
      <c r="AE40" s="23">
        <f t="shared" ref="AE40:AL40" si="106">SUM(AE34:AE39)</f>
        <v>0</v>
      </c>
      <c r="AF40" s="23">
        <f t="shared" si="106"/>
        <v>0</v>
      </c>
      <c r="AG40" s="23">
        <f t="shared" si="106"/>
        <v>0</v>
      </c>
      <c r="AH40" s="23">
        <f t="shared" si="106"/>
        <v>0</v>
      </c>
      <c r="AI40" s="23">
        <f t="shared" si="106"/>
        <v>140860</v>
      </c>
      <c r="AJ40" s="23">
        <f t="shared" si="106"/>
        <v>0</v>
      </c>
      <c r="AK40" s="23">
        <f t="shared" si="106"/>
        <v>989</v>
      </c>
      <c r="AL40" s="23">
        <f t="shared" si="106"/>
        <v>141849</v>
      </c>
    </row>
    <row r="41" spans="1:38" s="15" customFormat="1" ht="31.5" x14ac:dyDescent="0.25">
      <c r="A41" s="13" t="s">
        <v>413</v>
      </c>
      <c r="B41" s="13" t="s">
        <v>214</v>
      </c>
      <c r="C41" s="14">
        <f t="shared" ref="C41:AD41" si="107">SUM(C24+C26+C33+C40)</f>
        <v>15047060</v>
      </c>
      <c r="D41" s="14">
        <f t="shared" si="107"/>
        <v>0</v>
      </c>
      <c r="E41" s="14">
        <f t="shared" si="107"/>
        <v>0</v>
      </c>
      <c r="F41" s="14">
        <f t="shared" si="107"/>
        <v>15047060</v>
      </c>
      <c r="G41" s="14">
        <f t="shared" ref="G41:N41" si="108">SUM(G24+G26+G33+G40)</f>
        <v>0</v>
      </c>
      <c r="H41" s="14">
        <f t="shared" si="108"/>
        <v>0</v>
      </c>
      <c r="I41" s="14">
        <f t="shared" si="108"/>
        <v>0</v>
      </c>
      <c r="J41" s="14">
        <f t="shared" si="108"/>
        <v>0</v>
      </c>
      <c r="K41" s="14">
        <f t="shared" si="108"/>
        <v>15047060</v>
      </c>
      <c r="L41" s="14">
        <f t="shared" si="108"/>
        <v>0</v>
      </c>
      <c r="M41" s="14">
        <f t="shared" si="108"/>
        <v>0</v>
      </c>
      <c r="N41" s="14">
        <f t="shared" si="108"/>
        <v>15047060</v>
      </c>
      <c r="O41" s="14">
        <f t="shared" si="107"/>
        <v>0</v>
      </c>
      <c r="P41" s="14">
        <f t="shared" si="107"/>
        <v>0</v>
      </c>
      <c r="Q41" s="14">
        <f t="shared" si="107"/>
        <v>989</v>
      </c>
      <c r="R41" s="14">
        <f t="shared" si="107"/>
        <v>989</v>
      </c>
      <c r="S41" s="14">
        <f t="shared" ref="S41:Z41" si="109">SUM(S24+S26+S33+S40)</f>
        <v>0</v>
      </c>
      <c r="T41" s="14">
        <f t="shared" si="109"/>
        <v>0</v>
      </c>
      <c r="U41" s="14">
        <f t="shared" si="109"/>
        <v>0</v>
      </c>
      <c r="V41" s="14">
        <f t="shared" si="109"/>
        <v>0</v>
      </c>
      <c r="W41" s="14">
        <f t="shared" si="109"/>
        <v>0</v>
      </c>
      <c r="X41" s="14">
        <f t="shared" si="109"/>
        <v>0</v>
      </c>
      <c r="Y41" s="14">
        <f t="shared" si="109"/>
        <v>989</v>
      </c>
      <c r="Z41" s="14">
        <f t="shared" si="109"/>
        <v>989</v>
      </c>
      <c r="AA41" s="14">
        <f t="shared" si="107"/>
        <v>15047060</v>
      </c>
      <c r="AB41" s="14">
        <f t="shared" si="107"/>
        <v>0</v>
      </c>
      <c r="AC41" s="14">
        <f t="shared" si="107"/>
        <v>989</v>
      </c>
      <c r="AD41" s="14">
        <f t="shared" si="107"/>
        <v>15048049</v>
      </c>
      <c r="AE41" s="14">
        <f t="shared" ref="AE41:AL41" si="110">SUM(AE24+AE26+AE33+AE40)</f>
        <v>0</v>
      </c>
      <c r="AF41" s="14">
        <f t="shared" si="110"/>
        <v>0</v>
      </c>
      <c r="AG41" s="14">
        <f t="shared" si="110"/>
        <v>0</v>
      </c>
      <c r="AH41" s="14">
        <f t="shared" si="110"/>
        <v>0</v>
      </c>
      <c r="AI41" s="14">
        <f t="shared" si="110"/>
        <v>15047060</v>
      </c>
      <c r="AJ41" s="14">
        <f t="shared" si="110"/>
        <v>0</v>
      </c>
      <c r="AK41" s="14">
        <f t="shared" si="110"/>
        <v>989</v>
      </c>
      <c r="AL41" s="14">
        <f t="shared" si="110"/>
        <v>15048049</v>
      </c>
    </row>
    <row r="42" spans="1:38" s="15" customFormat="1" x14ac:dyDescent="0.25">
      <c r="A42" s="13" t="s">
        <v>414</v>
      </c>
      <c r="B42" s="13" t="s">
        <v>215</v>
      </c>
      <c r="C42" s="14">
        <v>932647</v>
      </c>
      <c r="D42" s="14">
        <v>2595471</v>
      </c>
      <c r="E42" s="14"/>
      <c r="F42" s="14">
        <f>SUM(C42:E42)</f>
        <v>3528118</v>
      </c>
      <c r="G42" s="14">
        <v>1586</v>
      </c>
      <c r="H42" s="14"/>
      <c r="I42" s="14"/>
      <c r="J42" s="14">
        <f>SUM(G42:I42)</f>
        <v>1586</v>
      </c>
      <c r="K42" s="14">
        <f t="shared" ref="K42:K46" si="111">SUM(G42+C42)</f>
        <v>934233</v>
      </c>
      <c r="L42" s="14">
        <f t="shared" ref="L42:L46" si="112">SUM(H42+D42)</f>
        <v>2595471</v>
      </c>
      <c r="M42" s="14">
        <f t="shared" ref="M42:M46" si="113">SUM(I42+E42)</f>
        <v>0</v>
      </c>
      <c r="N42" s="14">
        <f t="shared" ref="N42:N46" si="114">SUM(K42:M42)</f>
        <v>3529704</v>
      </c>
      <c r="O42" s="14">
        <v>1215262</v>
      </c>
      <c r="P42" s="14">
        <v>365728</v>
      </c>
      <c r="Q42" s="14"/>
      <c r="R42" s="14">
        <f>SUM(O42:Q42)</f>
        <v>1580990</v>
      </c>
      <c r="S42" s="14"/>
      <c r="T42" s="14"/>
      <c r="U42" s="14"/>
      <c r="V42" s="14">
        <f>SUM(S42:U42)</f>
        <v>0</v>
      </c>
      <c r="W42" s="14">
        <f t="shared" ref="W42:W46" si="115">SUM(S42+O42)</f>
        <v>1215262</v>
      </c>
      <c r="X42" s="14">
        <f t="shared" ref="X42:X46" si="116">SUM(T42+P42)</f>
        <v>365728</v>
      </c>
      <c r="Y42" s="14">
        <f t="shared" ref="Y42:Y46" si="117">SUM(Q42+U42)</f>
        <v>0</v>
      </c>
      <c r="Z42" s="14">
        <f t="shared" ref="Z42:Z46" si="118">SUM(W42:Y42)</f>
        <v>1580990</v>
      </c>
      <c r="AA42" s="12">
        <f t="shared" ref="AA42:AC45" si="119">SUM(O42+C42)</f>
        <v>2147909</v>
      </c>
      <c r="AB42" s="12">
        <f t="shared" si="119"/>
        <v>2961199</v>
      </c>
      <c r="AC42" s="12">
        <f t="shared" si="119"/>
        <v>0</v>
      </c>
      <c r="AD42" s="12">
        <f>SUM(AA42:AC42)</f>
        <v>5109108</v>
      </c>
      <c r="AE42" s="12">
        <f t="shared" ref="AE42:AG45" si="120">SUM(S42+G42)</f>
        <v>1586</v>
      </c>
      <c r="AF42" s="12">
        <f t="shared" si="120"/>
        <v>0</v>
      </c>
      <c r="AG42" s="12">
        <f t="shared" si="120"/>
        <v>0</v>
      </c>
      <c r="AH42" s="12">
        <f t="shared" ref="AH42:AH45" si="121">SUM(AE42:AG42)</f>
        <v>1586</v>
      </c>
      <c r="AI42" s="12">
        <f t="shared" ref="AI42:AK45" si="122">SUM(W42+K42)</f>
        <v>2149495</v>
      </c>
      <c r="AJ42" s="12">
        <f t="shared" si="122"/>
        <v>2961199</v>
      </c>
      <c r="AK42" s="12">
        <f t="shared" si="122"/>
        <v>0</v>
      </c>
      <c r="AL42" s="12">
        <f t="shared" ref="AL42:AL45" si="123">SUM(AI42:AK42)</f>
        <v>5110694</v>
      </c>
    </row>
    <row r="43" spans="1:38" s="15" customFormat="1" x14ac:dyDescent="0.25">
      <c r="A43" s="16" t="s">
        <v>270</v>
      </c>
      <c r="B43" s="16" t="s">
        <v>262</v>
      </c>
      <c r="C43" s="18">
        <v>388859</v>
      </c>
      <c r="D43" s="17"/>
      <c r="E43" s="228"/>
      <c r="F43" s="17">
        <f>SUM(C43:E43)</f>
        <v>388859</v>
      </c>
      <c r="G43" s="18"/>
      <c r="H43" s="18"/>
      <c r="I43" s="18"/>
      <c r="J43" s="18">
        <f>SUM(G43:I43)</f>
        <v>0</v>
      </c>
      <c r="K43" s="18">
        <f t="shared" si="111"/>
        <v>388859</v>
      </c>
      <c r="L43" s="18">
        <f t="shared" si="112"/>
        <v>0</v>
      </c>
      <c r="M43" s="18">
        <f t="shared" si="113"/>
        <v>0</v>
      </c>
      <c r="N43" s="19">
        <f t="shared" si="114"/>
        <v>388859</v>
      </c>
      <c r="O43" s="18"/>
      <c r="P43" s="18"/>
      <c r="Q43" s="18"/>
      <c r="R43" s="18">
        <f>SUM(O43:Q43)</f>
        <v>0</v>
      </c>
      <c r="S43" s="18"/>
      <c r="T43" s="18"/>
      <c r="U43" s="18"/>
      <c r="V43" s="18">
        <f>SUM(S43:U43)</f>
        <v>0</v>
      </c>
      <c r="W43" s="18">
        <f t="shared" si="115"/>
        <v>0</v>
      </c>
      <c r="X43" s="18">
        <f t="shared" si="116"/>
        <v>0</v>
      </c>
      <c r="Y43" s="18">
        <f t="shared" si="117"/>
        <v>0</v>
      </c>
      <c r="Z43" s="18">
        <f t="shared" si="118"/>
        <v>0</v>
      </c>
      <c r="AA43" s="11">
        <f t="shared" si="119"/>
        <v>388859</v>
      </c>
      <c r="AB43" s="11">
        <f t="shared" si="119"/>
        <v>0</v>
      </c>
      <c r="AC43" s="11">
        <f t="shared" si="119"/>
        <v>0</v>
      </c>
      <c r="AD43" s="11">
        <f>SUM(AA43:AC43)</f>
        <v>388859</v>
      </c>
      <c r="AE43" s="11">
        <f t="shared" si="120"/>
        <v>0</v>
      </c>
      <c r="AF43" s="11">
        <f t="shared" si="120"/>
        <v>0</v>
      </c>
      <c r="AG43" s="11">
        <f t="shared" si="120"/>
        <v>0</v>
      </c>
      <c r="AH43" s="11">
        <f t="shared" si="121"/>
        <v>0</v>
      </c>
      <c r="AI43" s="11">
        <f t="shared" si="122"/>
        <v>388859</v>
      </c>
      <c r="AJ43" s="11">
        <f t="shared" si="122"/>
        <v>0</v>
      </c>
      <c r="AK43" s="11">
        <f t="shared" si="122"/>
        <v>0</v>
      </c>
      <c r="AL43" s="11">
        <f t="shared" si="123"/>
        <v>388859</v>
      </c>
    </row>
    <row r="44" spans="1:38" s="15" customFormat="1" ht="31.5" x14ac:dyDescent="0.25">
      <c r="A44" s="231" t="s">
        <v>271</v>
      </c>
      <c r="B44" s="16" t="s">
        <v>272</v>
      </c>
      <c r="C44" s="18">
        <v>153030</v>
      </c>
      <c r="D44" s="17">
        <v>2423420</v>
      </c>
      <c r="E44" s="228"/>
      <c r="F44" s="17">
        <f>SUM(C44:E44)</f>
        <v>2576450</v>
      </c>
      <c r="G44" s="18">
        <v>1586</v>
      </c>
      <c r="H44" s="18"/>
      <c r="I44" s="18"/>
      <c r="J44" s="18">
        <f t="shared" ref="J44:J46" si="124">SUM(G44:I44)</f>
        <v>1586</v>
      </c>
      <c r="K44" s="18">
        <f t="shared" si="111"/>
        <v>154616</v>
      </c>
      <c r="L44" s="18">
        <f t="shared" si="112"/>
        <v>2423420</v>
      </c>
      <c r="M44" s="18">
        <f t="shared" si="113"/>
        <v>0</v>
      </c>
      <c r="N44" s="19">
        <f t="shared" si="114"/>
        <v>2578036</v>
      </c>
      <c r="O44" s="18">
        <f>50+344000</f>
        <v>344050</v>
      </c>
      <c r="P44" s="18">
        <f>2364+124543</f>
        <v>126907</v>
      </c>
      <c r="Q44" s="18"/>
      <c r="R44" s="18">
        <f>SUM(O44:Q44)</f>
        <v>470957</v>
      </c>
      <c r="S44" s="18"/>
      <c r="T44" s="18"/>
      <c r="U44" s="18"/>
      <c r="V44" s="18">
        <f t="shared" ref="V44:V46" si="125">SUM(S44:U44)</f>
        <v>0</v>
      </c>
      <c r="W44" s="18">
        <f t="shared" si="115"/>
        <v>344050</v>
      </c>
      <c r="X44" s="18">
        <f t="shared" si="116"/>
        <v>126907</v>
      </c>
      <c r="Y44" s="18">
        <f t="shared" si="117"/>
        <v>0</v>
      </c>
      <c r="Z44" s="18">
        <f t="shared" si="118"/>
        <v>470957</v>
      </c>
      <c r="AA44" s="11">
        <f t="shared" si="119"/>
        <v>497080</v>
      </c>
      <c r="AB44" s="11">
        <f t="shared" si="119"/>
        <v>2550327</v>
      </c>
      <c r="AC44" s="11">
        <f t="shared" si="119"/>
        <v>0</v>
      </c>
      <c r="AD44" s="11">
        <f>SUM(AA44:AC44)</f>
        <v>3047407</v>
      </c>
      <c r="AE44" s="11">
        <f t="shared" si="120"/>
        <v>1586</v>
      </c>
      <c r="AF44" s="11">
        <f t="shared" si="120"/>
        <v>0</v>
      </c>
      <c r="AG44" s="11">
        <f t="shared" si="120"/>
        <v>0</v>
      </c>
      <c r="AH44" s="11">
        <f t="shared" si="121"/>
        <v>1586</v>
      </c>
      <c r="AI44" s="11">
        <f t="shared" si="122"/>
        <v>498666</v>
      </c>
      <c r="AJ44" s="11">
        <f t="shared" si="122"/>
        <v>2550327</v>
      </c>
      <c r="AK44" s="11">
        <f t="shared" si="122"/>
        <v>0</v>
      </c>
      <c r="AL44" s="11">
        <f t="shared" si="123"/>
        <v>3048993</v>
      </c>
    </row>
    <row r="45" spans="1:38" s="15" customFormat="1" x14ac:dyDescent="0.25">
      <c r="A45" s="229" t="s">
        <v>273</v>
      </c>
      <c r="B45" s="16" t="s">
        <v>263</v>
      </c>
      <c r="C45" s="18"/>
      <c r="D45" s="17">
        <v>100000</v>
      </c>
      <c r="E45" s="228"/>
      <c r="F45" s="17">
        <f>SUM(C45:E45)</f>
        <v>100000</v>
      </c>
      <c r="G45" s="18"/>
      <c r="H45" s="18"/>
      <c r="I45" s="18"/>
      <c r="J45" s="18">
        <f t="shared" si="124"/>
        <v>0</v>
      </c>
      <c r="K45" s="18">
        <f t="shared" si="111"/>
        <v>0</v>
      </c>
      <c r="L45" s="18">
        <f t="shared" si="112"/>
        <v>100000</v>
      </c>
      <c r="M45" s="18">
        <f t="shared" si="113"/>
        <v>0</v>
      </c>
      <c r="N45" s="19">
        <f t="shared" si="114"/>
        <v>100000</v>
      </c>
      <c r="O45" s="18">
        <v>825</v>
      </c>
      <c r="P45" s="18">
        <v>275</v>
      </c>
      <c r="Q45" s="18"/>
      <c r="R45" s="18">
        <f>SUM(O45:Q45)</f>
        <v>1100</v>
      </c>
      <c r="S45" s="18"/>
      <c r="T45" s="18"/>
      <c r="U45" s="18"/>
      <c r="V45" s="18">
        <f t="shared" si="125"/>
        <v>0</v>
      </c>
      <c r="W45" s="18">
        <f t="shared" si="115"/>
        <v>825</v>
      </c>
      <c r="X45" s="18">
        <f t="shared" si="116"/>
        <v>275</v>
      </c>
      <c r="Y45" s="18">
        <f t="shared" si="117"/>
        <v>0</v>
      </c>
      <c r="Z45" s="18">
        <f t="shared" si="118"/>
        <v>1100</v>
      </c>
      <c r="AA45" s="11">
        <f t="shared" si="119"/>
        <v>825</v>
      </c>
      <c r="AB45" s="11">
        <f t="shared" si="119"/>
        <v>100275</v>
      </c>
      <c r="AC45" s="11">
        <f t="shared" si="119"/>
        <v>0</v>
      </c>
      <c r="AD45" s="11">
        <f>SUM(AA45:AC45)</f>
        <v>101100</v>
      </c>
      <c r="AE45" s="11">
        <f t="shared" si="120"/>
        <v>0</v>
      </c>
      <c r="AF45" s="11">
        <f t="shared" si="120"/>
        <v>0</v>
      </c>
      <c r="AG45" s="11">
        <f t="shared" si="120"/>
        <v>0</v>
      </c>
      <c r="AH45" s="11">
        <f t="shared" si="121"/>
        <v>0</v>
      </c>
      <c r="AI45" s="11">
        <f t="shared" si="122"/>
        <v>825</v>
      </c>
      <c r="AJ45" s="11">
        <f t="shared" si="122"/>
        <v>100275</v>
      </c>
      <c r="AK45" s="11">
        <f t="shared" si="122"/>
        <v>0</v>
      </c>
      <c r="AL45" s="11">
        <f t="shared" si="123"/>
        <v>101100</v>
      </c>
    </row>
    <row r="46" spans="1:38" ht="30.75" customHeight="1" x14ac:dyDescent="0.25">
      <c r="A46" s="39" t="s">
        <v>415</v>
      </c>
      <c r="B46" s="39" t="s">
        <v>264</v>
      </c>
      <c r="C46" s="40">
        <v>129000</v>
      </c>
      <c r="D46" s="232">
        <v>16010</v>
      </c>
      <c r="E46" s="40"/>
      <c r="F46" s="41">
        <f>SUM(C46:E46)</f>
        <v>145010</v>
      </c>
      <c r="G46" s="41"/>
      <c r="H46" s="41"/>
      <c r="I46" s="41"/>
      <c r="J46" s="18">
        <f t="shared" si="124"/>
        <v>0</v>
      </c>
      <c r="K46" s="40">
        <f t="shared" si="111"/>
        <v>129000</v>
      </c>
      <c r="L46" s="41">
        <f t="shared" si="112"/>
        <v>16010</v>
      </c>
      <c r="M46" s="41">
        <f t="shared" si="113"/>
        <v>0</v>
      </c>
      <c r="N46" s="41">
        <f t="shared" si="114"/>
        <v>145010</v>
      </c>
      <c r="O46" s="40"/>
      <c r="P46" s="40"/>
      <c r="Q46" s="40"/>
      <c r="R46" s="18">
        <f>SUM(O46:Q46)</f>
        <v>0</v>
      </c>
      <c r="S46" s="18"/>
      <c r="T46" s="18"/>
      <c r="U46" s="18"/>
      <c r="V46" s="18">
        <f t="shared" si="125"/>
        <v>0</v>
      </c>
      <c r="W46" s="18">
        <f t="shared" si="115"/>
        <v>0</v>
      </c>
      <c r="X46" s="18">
        <f t="shared" si="116"/>
        <v>0</v>
      </c>
      <c r="Y46" s="18">
        <f t="shared" si="117"/>
        <v>0</v>
      </c>
      <c r="Z46" s="18">
        <f t="shared" si="118"/>
        <v>0</v>
      </c>
      <c r="AA46" s="12">
        <f>SUM(C46+O46)</f>
        <v>129000</v>
      </c>
      <c r="AB46" s="12">
        <f>SUM(D46+P46)</f>
        <v>16010</v>
      </c>
      <c r="AC46" s="12">
        <f>SUM(E46+Q46)</f>
        <v>0</v>
      </c>
      <c r="AD46" s="12">
        <f>SUM(F46+R46)</f>
        <v>145010</v>
      </c>
      <c r="AE46" s="12">
        <f t="shared" ref="AE46:AL46" si="126">SUM(G46+S46)</f>
        <v>0</v>
      </c>
      <c r="AF46" s="12">
        <f t="shared" si="126"/>
        <v>0</v>
      </c>
      <c r="AG46" s="12">
        <f t="shared" si="126"/>
        <v>0</v>
      </c>
      <c r="AH46" s="12">
        <f t="shared" si="126"/>
        <v>0</v>
      </c>
      <c r="AI46" s="12">
        <f t="shared" si="126"/>
        <v>129000</v>
      </c>
      <c r="AJ46" s="12">
        <f t="shared" si="126"/>
        <v>16010</v>
      </c>
      <c r="AK46" s="12">
        <f t="shared" si="126"/>
        <v>0</v>
      </c>
      <c r="AL46" s="12">
        <f t="shared" si="126"/>
        <v>145010</v>
      </c>
    </row>
    <row r="47" spans="1:38" s="15" customFormat="1" x14ac:dyDescent="0.25">
      <c r="A47" s="233" t="s">
        <v>416</v>
      </c>
      <c r="B47" s="233" t="s">
        <v>216</v>
      </c>
      <c r="C47" s="12">
        <f t="shared" ref="C47:AD47" si="127">SUM(C46:C46)</f>
        <v>129000</v>
      </c>
      <c r="D47" s="12">
        <f t="shared" si="127"/>
        <v>16010</v>
      </c>
      <c r="E47" s="12">
        <f t="shared" si="127"/>
        <v>0</v>
      </c>
      <c r="F47" s="12">
        <f t="shared" si="127"/>
        <v>145010</v>
      </c>
      <c r="G47" s="12">
        <f t="shared" si="127"/>
        <v>0</v>
      </c>
      <c r="H47" s="12">
        <f t="shared" si="127"/>
        <v>0</v>
      </c>
      <c r="I47" s="12">
        <f t="shared" si="127"/>
        <v>0</v>
      </c>
      <c r="J47" s="12">
        <f t="shared" si="127"/>
        <v>0</v>
      </c>
      <c r="K47" s="12">
        <f t="shared" si="127"/>
        <v>129000</v>
      </c>
      <c r="L47" s="12">
        <f t="shared" si="127"/>
        <v>16010</v>
      </c>
      <c r="M47" s="12">
        <f t="shared" si="127"/>
        <v>0</v>
      </c>
      <c r="N47" s="12">
        <f t="shared" si="127"/>
        <v>145010</v>
      </c>
      <c r="O47" s="12">
        <f t="shared" si="127"/>
        <v>0</v>
      </c>
      <c r="P47" s="12">
        <f t="shared" si="127"/>
        <v>0</v>
      </c>
      <c r="Q47" s="12">
        <f t="shared" si="127"/>
        <v>0</v>
      </c>
      <c r="R47" s="12">
        <f t="shared" si="127"/>
        <v>0</v>
      </c>
      <c r="S47" s="12">
        <f t="shared" si="127"/>
        <v>0</v>
      </c>
      <c r="T47" s="12">
        <f t="shared" si="127"/>
        <v>0</v>
      </c>
      <c r="U47" s="12">
        <f t="shared" si="127"/>
        <v>0</v>
      </c>
      <c r="V47" s="12">
        <f t="shared" si="127"/>
        <v>0</v>
      </c>
      <c r="W47" s="12">
        <f t="shared" si="127"/>
        <v>0</v>
      </c>
      <c r="X47" s="12">
        <f t="shared" si="127"/>
        <v>0</v>
      </c>
      <c r="Y47" s="12">
        <f t="shared" si="127"/>
        <v>0</v>
      </c>
      <c r="Z47" s="12">
        <f t="shared" si="127"/>
        <v>0</v>
      </c>
      <c r="AA47" s="12">
        <f t="shared" si="127"/>
        <v>129000</v>
      </c>
      <c r="AB47" s="12">
        <f t="shared" si="127"/>
        <v>16010</v>
      </c>
      <c r="AC47" s="12">
        <f t="shared" si="127"/>
        <v>0</v>
      </c>
      <c r="AD47" s="12">
        <f t="shared" si="127"/>
        <v>145010</v>
      </c>
      <c r="AE47" s="12">
        <f t="shared" ref="AE47:AL47" si="128">SUM(AE46:AE46)</f>
        <v>0</v>
      </c>
      <c r="AF47" s="12">
        <f t="shared" si="128"/>
        <v>0</v>
      </c>
      <c r="AG47" s="12">
        <f t="shared" si="128"/>
        <v>0</v>
      </c>
      <c r="AH47" s="12">
        <f t="shared" si="128"/>
        <v>0</v>
      </c>
      <c r="AI47" s="12">
        <f t="shared" si="128"/>
        <v>129000</v>
      </c>
      <c r="AJ47" s="12">
        <f t="shared" si="128"/>
        <v>16010</v>
      </c>
      <c r="AK47" s="12">
        <f t="shared" si="128"/>
        <v>0</v>
      </c>
      <c r="AL47" s="12">
        <f t="shared" si="128"/>
        <v>145010</v>
      </c>
    </row>
    <row r="48" spans="1:38" s="15" customFormat="1" x14ac:dyDescent="0.25">
      <c r="A48" s="34" t="s">
        <v>430</v>
      </c>
      <c r="B48" s="34" t="s">
        <v>217</v>
      </c>
      <c r="C48" s="36">
        <v>42</v>
      </c>
      <c r="D48" s="35">
        <v>152090</v>
      </c>
      <c r="E48" s="36"/>
      <c r="F48" s="37">
        <f>SUM(C48:E48)</f>
        <v>152132</v>
      </c>
      <c r="G48" s="37"/>
      <c r="H48" s="37">
        <v>1030</v>
      </c>
      <c r="I48" s="37"/>
      <c r="J48" s="37">
        <f>SUM(G48:I48)</f>
        <v>1030</v>
      </c>
      <c r="K48" s="36">
        <f t="shared" ref="K48:K49" si="129">SUM(G48+C48)</f>
        <v>42</v>
      </c>
      <c r="L48" s="37">
        <f t="shared" ref="L48:L49" si="130">SUM(H48+D48)</f>
        <v>153120</v>
      </c>
      <c r="M48" s="37">
        <f t="shared" ref="M48:M49" si="131">SUM(I48+E48)</f>
        <v>0</v>
      </c>
      <c r="N48" s="37">
        <f t="shared" ref="N48:N49" si="132">SUM(K48:M48)</f>
        <v>153162</v>
      </c>
      <c r="O48" s="36">
        <v>0</v>
      </c>
      <c r="P48" s="36">
        <v>155222</v>
      </c>
      <c r="Q48" s="36">
        <v>0</v>
      </c>
      <c r="R48" s="36">
        <f>SUM(O48:Q48)</f>
        <v>155222</v>
      </c>
      <c r="S48" s="36"/>
      <c r="T48" s="36">
        <v>7997</v>
      </c>
      <c r="U48" s="36"/>
      <c r="V48" s="36">
        <f>SUM(S48:U48)</f>
        <v>7997</v>
      </c>
      <c r="W48" s="36">
        <f t="shared" ref="W48:W49" si="133">SUM(S48+O48)</f>
        <v>0</v>
      </c>
      <c r="X48" s="36">
        <f t="shared" ref="X48:X49" si="134">SUM(T48+P48)</f>
        <v>163219</v>
      </c>
      <c r="Y48" s="36">
        <f t="shared" ref="Y48:Y49" si="135">SUM(Q48+U48)</f>
        <v>0</v>
      </c>
      <c r="Z48" s="36">
        <f t="shared" ref="Z48:Z49" si="136">SUM(W48:Y48)</f>
        <v>163219</v>
      </c>
      <c r="AA48" s="12">
        <f t="shared" ref="AA48:AD49" si="137">SUM(C48+O48)</f>
        <v>42</v>
      </c>
      <c r="AB48" s="12">
        <f t="shared" si="137"/>
        <v>307312</v>
      </c>
      <c r="AC48" s="12">
        <f t="shared" si="137"/>
        <v>0</v>
      </c>
      <c r="AD48" s="12">
        <f t="shared" si="137"/>
        <v>307354</v>
      </c>
      <c r="AE48" s="12">
        <f t="shared" ref="AE48:AL49" si="138">SUM(G48+S48)</f>
        <v>0</v>
      </c>
      <c r="AF48" s="12">
        <f t="shared" si="138"/>
        <v>9027</v>
      </c>
      <c r="AG48" s="12">
        <f t="shared" si="138"/>
        <v>0</v>
      </c>
      <c r="AH48" s="12">
        <f t="shared" si="138"/>
        <v>9027</v>
      </c>
      <c r="AI48" s="12">
        <f t="shared" si="138"/>
        <v>42</v>
      </c>
      <c r="AJ48" s="12">
        <f t="shared" si="138"/>
        <v>316339</v>
      </c>
      <c r="AK48" s="12">
        <f t="shared" si="138"/>
        <v>0</v>
      </c>
      <c r="AL48" s="12">
        <f t="shared" si="138"/>
        <v>316381</v>
      </c>
    </row>
    <row r="49" spans="1:38" s="15" customFormat="1" ht="16.5" thickBot="1" x14ac:dyDescent="0.3">
      <c r="A49" s="47" t="s">
        <v>431</v>
      </c>
      <c r="B49" s="47" t="s">
        <v>218</v>
      </c>
      <c r="C49" s="260">
        <v>161789</v>
      </c>
      <c r="D49" s="262">
        <v>291017</v>
      </c>
      <c r="E49" s="260"/>
      <c r="F49" s="263">
        <f>SUM(C49:E49)</f>
        <v>452806</v>
      </c>
      <c r="G49" s="263"/>
      <c r="H49" s="263"/>
      <c r="I49" s="263"/>
      <c r="J49" s="263">
        <f>SUM(G49:I49)</f>
        <v>0</v>
      </c>
      <c r="K49" s="260">
        <f t="shared" si="129"/>
        <v>161789</v>
      </c>
      <c r="L49" s="263">
        <f t="shared" si="130"/>
        <v>291017</v>
      </c>
      <c r="M49" s="263">
        <f t="shared" si="131"/>
        <v>0</v>
      </c>
      <c r="N49" s="263">
        <f t="shared" si="132"/>
        <v>452806</v>
      </c>
      <c r="O49" s="260">
        <v>0</v>
      </c>
      <c r="P49" s="260"/>
      <c r="Q49" s="260"/>
      <c r="R49" s="36">
        <f>SUM(O49:Q49)</f>
        <v>0</v>
      </c>
      <c r="S49" s="596"/>
      <c r="T49" s="596"/>
      <c r="U49" s="596"/>
      <c r="V49" s="596">
        <f>SUM(S49:U49)</f>
        <v>0</v>
      </c>
      <c r="W49" s="596">
        <f t="shared" si="133"/>
        <v>0</v>
      </c>
      <c r="X49" s="596">
        <f t="shared" si="134"/>
        <v>0</v>
      </c>
      <c r="Y49" s="596">
        <f t="shared" si="135"/>
        <v>0</v>
      </c>
      <c r="Z49" s="596">
        <f t="shared" si="136"/>
        <v>0</v>
      </c>
      <c r="AA49" s="46">
        <f t="shared" si="137"/>
        <v>161789</v>
      </c>
      <c r="AB49" s="46">
        <f t="shared" si="137"/>
        <v>291017</v>
      </c>
      <c r="AC49" s="46">
        <f t="shared" si="137"/>
        <v>0</v>
      </c>
      <c r="AD49" s="46">
        <f t="shared" si="137"/>
        <v>452806</v>
      </c>
      <c r="AE49" s="46">
        <f t="shared" si="138"/>
        <v>0</v>
      </c>
      <c r="AF49" s="46">
        <f t="shared" si="138"/>
        <v>0</v>
      </c>
      <c r="AG49" s="46">
        <f t="shared" si="138"/>
        <v>0</v>
      </c>
      <c r="AH49" s="46">
        <f t="shared" si="138"/>
        <v>0</v>
      </c>
      <c r="AI49" s="46">
        <f t="shared" si="138"/>
        <v>161789</v>
      </c>
      <c r="AJ49" s="46">
        <f t="shared" si="138"/>
        <v>291017</v>
      </c>
      <c r="AK49" s="46">
        <f t="shared" si="138"/>
        <v>0</v>
      </c>
      <c r="AL49" s="46">
        <f t="shared" si="138"/>
        <v>452806</v>
      </c>
    </row>
    <row r="50" spans="1:38" s="15" customFormat="1" ht="33" thickTop="1" thickBot="1" x14ac:dyDescent="0.3">
      <c r="A50" s="48" t="s">
        <v>603</v>
      </c>
      <c r="B50" s="48"/>
      <c r="C50" s="51">
        <f t="shared" ref="C50:AD50" si="139">SUM(C48+C42+C41+C19)</f>
        <v>19753127</v>
      </c>
      <c r="D50" s="51">
        <f t="shared" si="139"/>
        <v>3068676</v>
      </c>
      <c r="E50" s="51">
        <f t="shared" si="139"/>
        <v>0</v>
      </c>
      <c r="F50" s="51">
        <f t="shared" si="139"/>
        <v>22821803</v>
      </c>
      <c r="G50" s="51">
        <f t="shared" ref="G50:N50" si="140">SUM(G48+G42+G41+G19)</f>
        <v>30679</v>
      </c>
      <c r="H50" s="51">
        <f t="shared" si="140"/>
        <v>60021</v>
      </c>
      <c r="I50" s="51">
        <f t="shared" si="140"/>
        <v>0</v>
      </c>
      <c r="J50" s="51">
        <f t="shared" si="140"/>
        <v>90700</v>
      </c>
      <c r="K50" s="51">
        <f t="shared" si="140"/>
        <v>19783806</v>
      </c>
      <c r="L50" s="51">
        <f t="shared" si="140"/>
        <v>3128697</v>
      </c>
      <c r="M50" s="51">
        <f t="shared" si="140"/>
        <v>0</v>
      </c>
      <c r="N50" s="51">
        <f t="shared" si="140"/>
        <v>22912503</v>
      </c>
      <c r="O50" s="51">
        <f t="shared" si="139"/>
        <v>1903594</v>
      </c>
      <c r="P50" s="51">
        <f t="shared" si="139"/>
        <v>820254</v>
      </c>
      <c r="Q50" s="51">
        <f t="shared" si="139"/>
        <v>70763</v>
      </c>
      <c r="R50" s="51">
        <f t="shared" si="139"/>
        <v>2794611</v>
      </c>
      <c r="S50" s="51">
        <f t="shared" ref="S50:Z50" si="141">SUM(S48+S42+S41+S19)</f>
        <v>7924</v>
      </c>
      <c r="T50" s="51">
        <f t="shared" si="141"/>
        <v>22571</v>
      </c>
      <c r="U50" s="51">
        <f t="shared" si="141"/>
        <v>0</v>
      </c>
      <c r="V50" s="51">
        <f t="shared" si="141"/>
        <v>30495</v>
      </c>
      <c r="W50" s="51">
        <f t="shared" si="141"/>
        <v>1911518</v>
      </c>
      <c r="X50" s="51">
        <f t="shared" si="141"/>
        <v>842825</v>
      </c>
      <c r="Y50" s="51">
        <f t="shared" si="141"/>
        <v>70763</v>
      </c>
      <c r="Z50" s="51">
        <f t="shared" si="141"/>
        <v>2825106</v>
      </c>
      <c r="AA50" s="51">
        <f t="shared" si="139"/>
        <v>21656721</v>
      </c>
      <c r="AB50" s="51">
        <f t="shared" si="139"/>
        <v>3888930</v>
      </c>
      <c r="AC50" s="51">
        <f t="shared" si="139"/>
        <v>70763</v>
      </c>
      <c r="AD50" s="51">
        <f t="shared" si="139"/>
        <v>25616414</v>
      </c>
      <c r="AE50" s="51">
        <f t="shared" ref="AE50:AL50" si="142">SUM(AE48+AE42+AE41+AE19)</f>
        <v>38603</v>
      </c>
      <c r="AF50" s="51">
        <f t="shared" si="142"/>
        <v>82592</v>
      </c>
      <c r="AG50" s="51">
        <f t="shared" si="142"/>
        <v>0</v>
      </c>
      <c r="AH50" s="51">
        <f t="shared" si="142"/>
        <v>121195</v>
      </c>
      <c r="AI50" s="51">
        <f t="shared" si="142"/>
        <v>21695324</v>
      </c>
      <c r="AJ50" s="51">
        <f t="shared" si="142"/>
        <v>3971522</v>
      </c>
      <c r="AK50" s="51">
        <f t="shared" si="142"/>
        <v>70763</v>
      </c>
      <c r="AL50" s="51">
        <f t="shared" si="142"/>
        <v>25737609</v>
      </c>
    </row>
    <row r="51" spans="1:38" s="15" customFormat="1" ht="33" thickTop="1" thickBot="1" x14ac:dyDescent="0.3">
      <c r="A51" s="48" t="s">
        <v>604</v>
      </c>
      <c r="B51" s="48"/>
      <c r="C51" s="51">
        <f t="shared" ref="C51:AD51" si="143">SUM(C22+C47+C49)</f>
        <v>2543789</v>
      </c>
      <c r="D51" s="51">
        <f t="shared" si="143"/>
        <v>13533267</v>
      </c>
      <c r="E51" s="51">
        <f t="shared" si="143"/>
        <v>0</v>
      </c>
      <c r="F51" s="51">
        <f t="shared" si="143"/>
        <v>16077056</v>
      </c>
      <c r="G51" s="51">
        <f t="shared" ref="G51:N51" si="144">SUM(G22+G47+G49)</f>
        <v>89380</v>
      </c>
      <c r="H51" s="51">
        <f t="shared" si="144"/>
        <v>1178103</v>
      </c>
      <c r="I51" s="51">
        <f t="shared" si="144"/>
        <v>0</v>
      </c>
      <c r="J51" s="51">
        <f t="shared" si="144"/>
        <v>1267483</v>
      </c>
      <c r="K51" s="51">
        <f t="shared" si="144"/>
        <v>2633169</v>
      </c>
      <c r="L51" s="51">
        <f t="shared" si="144"/>
        <v>14711370</v>
      </c>
      <c r="M51" s="51">
        <f t="shared" si="144"/>
        <v>0</v>
      </c>
      <c r="N51" s="51">
        <f t="shared" si="144"/>
        <v>17344539</v>
      </c>
      <c r="O51" s="51">
        <f t="shared" si="143"/>
        <v>0</v>
      </c>
      <c r="P51" s="51">
        <f t="shared" si="143"/>
        <v>0</v>
      </c>
      <c r="Q51" s="51">
        <f t="shared" si="143"/>
        <v>0</v>
      </c>
      <c r="R51" s="51">
        <f t="shared" si="143"/>
        <v>0</v>
      </c>
      <c r="S51" s="51">
        <f t="shared" ref="S51:Z51" si="145">SUM(S22+S47+S49)</f>
        <v>0</v>
      </c>
      <c r="T51" s="51">
        <f t="shared" si="145"/>
        <v>0</v>
      </c>
      <c r="U51" s="51">
        <f t="shared" si="145"/>
        <v>0</v>
      </c>
      <c r="V51" s="51">
        <f t="shared" si="145"/>
        <v>0</v>
      </c>
      <c r="W51" s="51">
        <f t="shared" si="145"/>
        <v>0</v>
      </c>
      <c r="X51" s="51">
        <f t="shared" si="145"/>
        <v>0</v>
      </c>
      <c r="Y51" s="51">
        <f t="shared" si="145"/>
        <v>0</v>
      </c>
      <c r="Z51" s="51">
        <f t="shared" si="145"/>
        <v>0</v>
      </c>
      <c r="AA51" s="51">
        <f t="shared" si="143"/>
        <v>2543789</v>
      </c>
      <c r="AB51" s="51">
        <f t="shared" si="143"/>
        <v>13533267</v>
      </c>
      <c r="AC51" s="51">
        <f t="shared" si="143"/>
        <v>0</v>
      </c>
      <c r="AD51" s="51">
        <f t="shared" si="143"/>
        <v>16077056</v>
      </c>
      <c r="AE51" s="51">
        <f t="shared" ref="AE51:AL51" si="146">SUM(AE22+AE47+AE49)</f>
        <v>89380</v>
      </c>
      <c r="AF51" s="51">
        <f t="shared" si="146"/>
        <v>1178103</v>
      </c>
      <c r="AG51" s="51">
        <f t="shared" si="146"/>
        <v>0</v>
      </c>
      <c r="AH51" s="51">
        <f t="shared" si="146"/>
        <v>1267483</v>
      </c>
      <c r="AI51" s="51">
        <f t="shared" si="146"/>
        <v>2633169</v>
      </c>
      <c r="AJ51" s="51">
        <f t="shared" si="146"/>
        <v>14711370</v>
      </c>
      <c r="AK51" s="51">
        <f t="shared" si="146"/>
        <v>0</v>
      </c>
      <c r="AL51" s="51">
        <f t="shared" si="146"/>
        <v>17344539</v>
      </c>
    </row>
    <row r="52" spans="1:38" ht="33" thickTop="1" thickBot="1" x14ac:dyDescent="0.3">
      <c r="A52" s="48" t="s">
        <v>605</v>
      </c>
      <c r="B52" s="48" t="s">
        <v>349</v>
      </c>
      <c r="C52" s="38">
        <f>SUM(C50+C51)</f>
        <v>22296916</v>
      </c>
      <c r="D52" s="38">
        <f t="shared" ref="D52:AD52" si="147">SUM(D50+D51)</f>
        <v>16601943</v>
      </c>
      <c r="E52" s="38">
        <f t="shared" si="147"/>
        <v>0</v>
      </c>
      <c r="F52" s="38">
        <f t="shared" si="147"/>
        <v>38898859</v>
      </c>
      <c r="G52" s="38">
        <f t="shared" ref="G52:N52" si="148">SUM(G50+G51)</f>
        <v>120059</v>
      </c>
      <c r="H52" s="38">
        <f t="shared" si="148"/>
        <v>1238124</v>
      </c>
      <c r="I52" s="38">
        <f t="shared" si="148"/>
        <v>0</v>
      </c>
      <c r="J52" s="38">
        <f t="shared" si="148"/>
        <v>1358183</v>
      </c>
      <c r="K52" s="38">
        <f t="shared" si="148"/>
        <v>22416975</v>
      </c>
      <c r="L52" s="38">
        <f t="shared" si="148"/>
        <v>17840067</v>
      </c>
      <c r="M52" s="38">
        <f t="shared" si="148"/>
        <v>0</v>
      </c>
      <c r="N52" s="38">
        <f t="shared" si="148"/>
        <v>40257042</v>
      </c>
      <c r="O52" s="38">
        <f t="shared" si="147"/>
        <v>1903594</v>
      </c>
      <c r="P52" s="38">
        <f t="shared" si="147"/>
        <v>820254</v>
      </c>
      <c r="Q52" s="38">
        <f t="shared" si="147"/>
        <v>70763</v>
      </c>
      <c r="R52" s="38">
        <f t="shared" si="147"/>
        <v>2794611</v>
      </c>
      <c r="S52" s="38">
        <f t="shared" ref="S52:Z52" si="149">SUM(S50+S51)</f>
        <v>7924</v>
      </c>
      <c r="T52" s="38">
        <f t="shared" si="149"/>
        <v>22571</v>
      </c>
      <c r="U52" s="38">
        <f t="shared" si="149"/>
        <v>0</v>
      </c>
      <c r="V52" s="38">
        <f t="shared" si="149"/>
        <v>30495</v>
      </c>
      <c r="W52" s="38">
        <f t="shared" si="149"/>
        <v>1911518</v>
      </c>
      <c r="X52" s="38">
        <f t="shared" si="149"/>
        <v>842825</v>
      </c>
      <c r="Y52" s="38">
        <f t="shared" si="149"/>
        <v>70763</v>
      </c>
      <c r="Z52" s="38">
        <f t="shared" si="149"/>
        <v>2825106</v>
      </c>
      <c r="AA52" s="38">
        <f t="shared" si="147"/>
        <v>24200510</v>
      </c>
      <c r="AB52" s="38">
        <f t="shared" si="147"/>
        <v>17422197</v>
      </c>
      <c r="AC52" s="38">
        <f t="shared" si="147"/>
        <v>70763</v>
      </c>
      <c r="AD52" s="38">
        <f t="shared" si="147"/>
        <v>41693470</v>
      </c>
      <c r="AE52" s="38">
        <f t="shared" ref="AE52:AL52" si="150">SUM(AE50+AE51)</f>
        <v>127983</v>
      </c>
      <c r="AF52" s="38">
        <f t="shared" si="150"/>
        <v>1260695</v>
      </c>
      <c r="AG52" s="38">
        <f t="shared" si="150"/>
        <v>0</v>
      </c>
      <c r="AH52" s="38">
        <f t="shared" si="150"/>
        <v>1388678</v>
      </c>
      <c r="AI52" s="38">
        <f t="shared" si="150"/>
        <v>24328493</v>
      </c>
      <c r="AJ52" s="38">
        <f t="shared" si="150"/>
        <v>18682892</v>
      </c>
      <c r="AK52" s="38">
        <f t="shared" si="150"/>
        <v>70763</v>
      </c>
      <c r="AL52" s="38">
        <f t="shared" si="150"/>
        <v>43082148</v>
      </c>
    </row>
    <row r="53" spans="1:38" ht="17.25" thickTop="1" thickBot="1" x14ac:dyDescent="0.3">
      <c r="A53" s="48"/>
      <c r="B53" s="244"/>
      <c r="C53" s="49"/>
      <c r="D53" s="240"/>
      <c r="E53" s="49"/>
      <c r="F53" s="50"/>
      <c r="G53" s="50"/>
      <c r="H53" s="50"/>
      <c r="I53" s="50"/>
      <c r="J53" s="50"/>
      <c r="K53" s="50"/>
      <c r="L53" s="50"/>
      <c r="M53" s="50"/>
      <c r="N53" s="50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2"/>
      <c r="AB53" s="51"/>
      <c r="AC53" s="51"/>
      <c r="AD53" s="51"/>
      <c r="AE53" s="52"/>
      <c r="AF53" s="51"/>
      <c r="AG53" s="51"/>
      <c r="AH53" s="51"/>
      <c r="AI53" s="52"/>
      <c r="AJ53" s="51"/>
      <c r="AK53" s="51"/>
      <c r="AL53" s="51"/>
    </row>
    <row r="54" spans="1:38" ht="32.25" thickTop="1" x14ac:dyDescent="0.25">
      <c r="A54" s="56" t="s">
        <v>390</v>
      </c>
      <c r="B54" s="56"/>
      <c r="C54" s="267"/>
      <c r="D54" s="268"/>
      <c r="E54" s="369"/>
      <c r="F54" s="373">
        <f>F55-F56</f>
        <v>-827685</v>
      </c>
      <c r="G54" s="378"/>
      <c r="H54" s="268"/>
      <c r="I54" s="268"/>
      <c r="J54" s="378">
        <f>J55-J56</f>
        <v>152679</v>
      </c>
      <c r="K54" s="267"/>
      <c r="L54" s="268"/>
      <c r="M54" s="268"/>
      <c r="N54" s="373">
        <f>N55-N56</f>
        <v>-675006</v>
      </c>
      <c r="O54" s="604"/>
      <c r="P54" s="268"/>
      <c r="Q54" s="268"/>
      <c r="R54" s="373">
        <f>R55-R56</f>
        <v>-9769380</v>
      </c>
      <c r="S54" s="604"/>
      <c r="T54" s="268"/>
      <c r="U54" s="268"/>
      <c r="V54" s="373">
        <f>V55-V56</f>
        <v>-152679</v>
      </c>
      <c r="W54" s="597"/>
      <c r="X54" s="268"/>
      <c r="Y54" s="268"/>
      <c r="Z54" s="613">
        <f>Z55-Z56</f>
        <v>-9922059</v>
      </c>
      <c r="AA54" s="267"/>
      <c r="AB54" s="268"/>
      <c r="AC54" s="268"/>
      <c r="AD54" s="373">
        <f>AD55-AD56</f>
        <v>-10597065</v>
      </c>
      <c r="AE54" s="267"/>
      <c r="AF54" s="268"/>
      <c r="AG54" s="268"/>
      <c r="AH54" s="373">
        <f t="shared" ref="AH54" si="151">AH55-AH56</f>
        <v>0</v>
      </c>
      <c r="AI54" s="267"/>
      <c r="AJ54" s="268"/>
      <c r="AK54" s="268"/>
      <c r="AL54" s="373">
        <f t="shared" ref="AL54" si="152">AL55-AL56</f>
        <v>-10597065</v>
      </c>
    </row>
    <row r="55" spans="1:38" x14ac:dyDescent="0.25">
      <c r="A55" s="379" t="s">
        <v>275</v>
      </c>
      <c r="B55" s="379" t="s">
        <v>349</v>
      </c>
      <c r="C55" s="269"/>
      <c r="D55" s="270"/>
      <c r="E55" s="370"/>
      <c r="F55" s="374">
        <f>SUM(F52)</f>
        <v>38898859</v>
      </c>
      <c r="G55" s="380"/>
      <c r="H55" s="270"/>
      <c r="I55" s="270"/>
      <c r="J55" s="380">
        <f>SUM(J52)</f>
        <v>1358183</v>
      </c>
      <c r="K55" s="269"/>
      <c r="L55" s="270"/>
      <c r="M55" s="270"/>
      <c r="N55" s="374">
        <f>SUM(N52)</f>
        <v>40257042</v>
      </c>
      <c r="O55" s="605"/>
      <c r="P55" s="270"/>
      <c r="Q55" s="270"/>
      <c r="R55" s="374">
        <f>SUM(R52)</f>
        <v>2794611</v>
      </c>
      <c r="S55" s="605"/>
      <c r="T55" s="270"/>
      <c r="U55" s="270"/>
      <c r="V55" s="374">
        <f>SUM(V52)</f>
        <v>30495</v>
      </c>
      <c r="W55" s="598"/>
      <c r="X55" s="270"/>
      <c r="Y55" s="270"/>
      <c r="Z55" s="614">
        <f>SUM(Z52)</f>
        <v>2825106</v>
      </c>
      <c r="AA55" s="269"/>
      <c r="AB55" s="270"/>
      <c r="AC55" s="270"/>
      <c r="AD55" s="374">
        <f>SUM(AD52)</f>
        <v>41693470</v>
      </c>
      <c r="AE55" s="269"/>
      <c r="AF55" s="270"/>
      <c r="AG55" s="270"/>
      <c r="AH55" s="374">
        <f t="shared" ref="AH55" si="153">SUM(AH52)</f>
        <v>1388678</v>
      </c>
      <c r="AI55" s="269"/>
      <c r="AJ55" s="270"/>
      <c r="AK55" s="270"/>
      <c r="AL55" s="374">
        <f t="shared" ref="AL55" si="154">SUM(AL52)</f>
        <v>43082148</v>
      </c>
    </row>
    <row r="56" spans="1:38" x14ac:dyDescent="0.25">
      <c r="A56" s="379" t="s">
        <v>276</v>
      </c>
      <c r="B56" s="379" t="s">
        <v>345</v>
      </c>
      <c r="C56" s="59"/>
      <c r="D56" s="271"/>
      <c r="E56" s="371"/>
      <c r="F56" s="375">
        <f>'2 kiadás (kötelező, önként)'!F22</f>
        <v>39726544</v>
      </c>
      <c r="G56" s="275"/>
      <c r="H56" s="271"/>
      <c r="I56" s="271"/>
      <c r="J56" s="275">
        <f>'2 kiadás (kötelező, önként)'!J22</f>
        <v>1205504</v>
      </c>
      <c r="K56" s="59"/>
      <c r="L56" s="271"/>
      <c r="M56" s="271"/>
      <c r="N56" s="375">
        <f>SUM(J56+F56)</f>
        <v>40932048</v>
      </c>
      <c r="O56" s="606"/>
      <c r="P56" s="271"/>
      <c r="Q56" s="271"/>
      <c r="R56" s="375">
        <f>'2 kiadás (kötelező, önként)'!R22</f>
        <v>12563991</v>
      </c>
      <c r="S56" s="606"/>
      <c r="T56" s="271"/>
      <c r="U56" s="271"/>
      <c r="V56" s="375">
        <f>'2 kiadás (kötelező, önként)'!V22</f>
        <v>183174</v>
      </c>
      <c r="W56" s="599"/>
      <c r="X56" s="271"/>
      <c r="Y56" s="271"/>
      <c r="Z56" s="381">
        <f>'2 kiadás (kötelező, önként)'!Z22</f>
        <v>12747165</v>
      </c>
      <c r="AA56" s="59"/>
      <c r="AB56" s="271"/>
      <c r="AC56" s="271"/>
      <c r="AD56" s="383">
        <f>'2 kiadás (kötelező, önként)'!AD22</f>
        <v>52290535</v>
      </c>
      <c r="AE56" s="59"/>
      <c r="AF56" s="271"/>
      <c r="AG56" s="271"/>
      <c r="AH56" s="383">
        <f>'2 kiadás (kötelező, önként)'!AH22</f>
        <v>1388678</v>
      </c>
      <c r="AI56" s="59"/>
      <c r="AJ56" s="271"/>
      <c r="AK56" s="271"/>
      <c r="AL56" s="383">
        <f>'2 kiadás (kötelező, önként)'!AL22</f>
        <v>53679213</v>
      </c>
    </row>
    <row r="57" spans="1:38" x14ac:dyDescent="0.25">
      <c r="A57" s="60" t="s">
        <v>221</v>
      </c>
      <c r="B57" s="60"/>
      <c r="C57" s="245"/>
      <c r="D57" s="264"/>
      <c r="E57" s="372"/>
      <c r="F57" s="376"/>
      <c r="G57" s="266"/>
      <c r="H57" s="264"/>
      <c r="I57" s="264"/>
      <c r="J57" s="266"/>
      <c r="K57" s="245"/>
      <c r="L57" s="264"/>
      <c r="M57" s="264"/>
      <c r="N57" s="376"/>
      <c r="O57" s="607"/>
      <c r="P57" s="264"/>
      <c r="Q57" s="264"/>
      <c r="R57" s="376"/>
      <c r="S57" s="607"/>
      <c r="T57" s="264"/>
      <c r="U57" s="264"/>
      <c r="V57" s="376"/>
      <c r="W57" s="600"/>
      <c r="X57" s="264"/>
      <c r="Y57" s="264"/>
      <c r="Z57" s="615"/>
      <c r="AA57" s="245"/>
      <c r="AB57" s="264"/>
      <c r="AC57" s="264"/>
      <c r="AD57" s="376"/>
      <c r="AE57" s="245"/>
      <c r="AF57" s="264"/>
      <c r="AG57" s="264"/>
      <c r="AH57" s="376"/>
      <c r="AI57" s="245"/>
      <c r="AJ57" s="264"/>
      <c r="AK57" s="264"/>
      <c r="AL57" s="376"/>
    </row>
    <row r="58" spans="1:38" ht="31.5" x14ac:dyDescent="0.25">
      <c r="A58" s="61" t="s">
        <v>237</v>
      </c>
      <c r="B58" s="61"/>
      <c r="C58" s="272">
        <v>643386</v>
      </c>
      <c r="D58" s="58"/>
      <c r="E58" s="58"/>
      <c r="F58" s="382">
        <f>SUM(C58:E58)</f>
        <v>643386</v>
      </c>
      <c r="G58" s="265"/>
      <c r="H58" s="58"/>
      <c r="I58" s="58"/>
      <c r="J58" s="265">
        <f>SUM(G58:I58)</f>
        <v>0</v>
      </c>
      <c r="K58" s="272">
        <f t="shared" ref="K58:K59" si="155">SUM(G58+C58)</f>
        <v>643386</v>
      </c>
      <c r="L58" s="58">
        <f t="shared" ref="L58:L59" si="156">SUM(H58+D58)</f>
        <v>0</v>
      </c>
      <c r="M58" s="58">
        <f t="shared" ref="M58:M59" si="157">SUM(I58+E58)</f>
        <v>0</v>
      </c>
      <c r="N58" s="382">
        <f t="shared" ref="N58:N59" si="158">SUM(K58:M58)</f>
        <v>643386</v>
      </c>
      <c r="O58" s="272">
        <v>266603</v>
      </c>
      <c r="P58" s="58">
        <v>16441</v>
      </c>
      <c r="Q58" s="58"/>
      <c r="R58" s="382">
        <f>SUM(O58:Q58)</f>
        <v>283044</v>
      </c>
      <c r="S58" s="608"/>
      <c r="T58" s="58"/>
      <c r="U58" s="58"/>
      <c r="V58" s="382">
        <f>SUM(S58:U58)</f>
        <v>0</v>
      </c>
      <c r="W58" s="548">
        <f>SUM(S58+O58)</f>
        <v>266603</v>
      </c>
      <c r="X58" s="58">
        <f>SUM(T58+P58)</f>
        <v>16441</v>
      </c>
      <c r="Y58" s="58">
        <f>SUM(Q58+U58)</f>
        <v>0</v>
      </c>
      <c r="Z58" s="383">
        <f>SUM(W58:Y58)</f>
        <v>283044</v>
      </c>
      <c r="AA58" s="272">
        <f>SUM(O58+C58)</f>
        <v>909989</v>
      </c>
      <c r="AB58" s="58">
        <f>SUM(P58+D58)</f>
        <v>16441</v>
      </c>
      <c r="AC58" s="58"/>
      <c r="AD58" s="383">
        <f>SUM(AA58:AC58)</f>
        <v>926430</v>
      </c>
      <c r="AE58" s="272">
        <f t="shared" ref="AE58:AF59" si="159">SUM(S58+G58)</f>
        <v>0</v>
      </c>
      <c r="AF58" s="58">
        <f t="shared" si="159"/>
        <v>0</v>
      </c>
      <c r="AG58" s="58"/>
      <c r="AH58" s="383">
        <f t="shared" ref="AH58:AH59" si="160">SUM(AE58:AG58)</f>
        <v>0</v>
      </c>
      <c r="AI58" s="272">
        <f t="shared" ref="AI58:AJ59" si="161">SUM(W58+K58)</f>
        <v>909989</v>
      </c>
      <c r="AJ58" s="58">
        <f t="shared" si="161"/>
        <v>16441</v>
      </c>
      <c r="AK58" s="58"/>
      <c r="AL58" s="383">
        <f t="shared" ref="AL58:AL59" si="162">SUM(AI58:AK58)</f>
        <v>926430</v>
      </c>
    </row>
    <row r="59" spans="1:38" ht="31.5" x14ac:dyDescent="0.25">
      <c r="A59" s="61" t="s">
        <v>219</v>
      </c>
      <c r="B59" s="61"/>
      <c r="C59" s="272"/>
      <c r="D59" s="58"/>
      <c r="E59" s="58"/>
      <c r="F59" s="382">
        <f>SUM(C59:E59)</f>
        <v>0</v>
      </c>
      <c r="G59" s="265"/>
      <c r="H59" s="58"/>
      <c r="I59" s="58"/>
      <c r="J59" s="265">
        <f>SUM(G59:I59)</f>
        <v>0</v>
      </c>
      <c r="K59" s="272">
        <f t="shared" si="155"/>
        <v>0</v>
      </c>
      <c r="L59" s="58">
        <f t="shared" si="156"/>
        <v>0</v>
      </c>
      <c r="M59" s="58">
        <f t="shared" si="157"/>
        <v>0</v>
      </c>
      <c r="N59" s="382">
        <f t="shared" si="158"/>
        <v>0</v>
      </c>
      <c r="O59" s="272"/>
      <c r="P59" s="58"/>
      <c r="Q59" s="58"/>
      <c r="R59" s="382">
        <f>SUM(O59:Q59)</f>
        <v>0</v>
      </c>
      <c r="S59" s="608"/>
      <c r="T59" s="58"/>
      <c r="U59" s="58"/>
      <c r="V59" s="382">
        <f>SUM(S59:U59)</f>
        <v>0</v>
      </c>
      <c r="W59" s="548">
        <f>SUM(S59+O59)</f>
        <v>0</v>
      </c>
      <c r="X59" s="58">
        <f>SUM(T59+P59)</f>
        <v>0</v>
      </c>
      <c r="Y59" s="58">
        <f>SUM(Q59+U59)</f>
        <v>0</v>
      </c>
      <c r="Z59" s="383">
        <f>SUM(W59:Y59)</f>
        <v>0</v>
      </c>
      <c r="AA59" s="272">
        <f>SUM(O59+C59)</f>
        <v>0</v>
      </c>
      <c r="AB59" s="58">
        <f>SUM(P59+D59)</f>
        <v>0</v>
      </c>
      <c r="AC59" s="58"/>
      <c r="AD59" s="383">
        <f>SUM(AA59:AC59)</f>
        <v>0</v>
      </c>
      <c r="AE59" s="272">
        <f t="shared" si="159"/>
        <v>0</v>
      </c>
      <c r="AF59" s="58">
        <f t="shared" si="159"/>
        <v>0</v>
      </c>
      <c r="AG59" s="58"/>
      <c r="AH59" s="383">
        <f t="shared" si="160"/>
        <v>0</v>
      </c>
      <c r="AI59" s="272">
        <f t="shared" si="161"/>
        <v>0</v>
      </c>
      <c r="AJ59" s="58">
        <f t="shared" si="161"/>
        <v>0</v>
      </c>
      <c r="AK59" s="58"/>
      <c r="AL59" s="383">
        <f t="shared" si="162"/>
        <v>0</v>
      </c>
    </row>
    <row r="60" spans="1:38" x14ac:dyDescent="0.25">
      <c r="A60" s="57" t="s">
        <v>220</v>
      </c>
      <c r="B60" s="57" t="s">
        <v>274</v>
      </c>
      <c r="C60" s="59">
        <f t="shared" ref="C60:AD60" si="163">SUM(C58:C59)</f>
        <v>643386</v>
      </c>
      <c r="D60" s="271">
        <f t="shared" si="163"/>
        <v>0</v>
      </c>
      <c r="E60" s="271">
        <f t="shared" si="163"/>
        <v>0</v>
      </c>
      <c r="F60" s="381">
        <f t="shared" si="163"/>
        <v>643386</v>
      </c>
      <c r="G60" s="275">
        <f t="shared" si="163"/>
        <v>0</v>
      </c>
      <c r="H60" s="271">
        <f t="shared" si="163"/>
        <v>0</v>
      </c>
      <c r="I60" s="271">
        <f t="shared" si="163"/>
        <v>0</v>
      </c>
      <c r="J60" s="381">
        <f t="shared" si="163"/>
        <v>0</v>
      </c>
      <c r="K60" s="275">
        <f t="shared" si="163"/>
        <v>643386</v>
      </c>
      <c r="L60" s="271">
        <f t="shared" si="163"/>
        <v>0</v>
      </c>
      <c r="M60" s="271">
        <f t="shared" si="163"/>
        <v>0</v>
      </c>
      <c r="N60" s="381">
        <f t="shared" si="163"/>
        <v>643386</v>
      </c>
      <c r="O60" s="606">
        <f t="shared" si="163"/>
        <v>266603</v>
      </c>
      <c r="P60" s="271">
        <f t="shared" si="163"/>
        <v>16441</v>
      </c>
      <c r="Q60" s="271">
        <f t="shared" si="163"/>
        <v>0</v>
      </c>
      <c r="R60" s="375">
        <f t="shared" si="163"/>
        <v>283044</v>
      </c>
      <c r="S60" s="371">
        <f t="shared" si="163"/>
        <v>0</v>
      </c>
      <c r="T60" s="271">
        <f t="shared" si="163"/>
        <v>0</v>
      </c>
      <c r="U60" s="271">
        <f t="shared" si="163"/>
        <v>0</v>
      </c>
      <c r="V60" s="381">
        <f t="shared" si="163"/>
        <v>0</v>
      </c>
      <c r="W60" s="371">
        <f t="shared" si="163"/>
        <v>266603</v>
      </c>
      <c r="X60" s="271">
        <f t="shared" si="163"/>
        <v>16441</v>
      </c>
      <c r="Y60" s="271">
        <f t="shared" si="163"/>
        <v>0</v>
      </c>
      <c r="Z60" s="381">
        <f t="shared" si="163"/>
        <v>283044</v>
      </c>
      <c r="AA60" s="59">
        <f t="shared" si="163"/>
        <v>909989</v>
      </c>
      <c r="AB60" s="271">
        <f t="shared" si="163"/>
        <v>16441</v>
      </c>
      <c r="AC60" s="271">
        <f t="shared" si="163"/>
        <v>0</v>
      </c>
      <c r="AD60" s="381">
        <f t="shared" si="163"/>
        <v>926430</v>
      </c>
      <c r="AE60" s="59">
        <f t="shared" ref="AE60:AL60" si="164">SUM(AE58:AE59)</f>
        <v>0</v>
      </c>
      <c r="AF60" s="271">
        <f t="shared" si="164"/>
        <v>0</v>
      </c>
      <c r="AG60" s="271">
        <f t="shared" si="164"/>
        <v>0</v>
      </c>
      <c r="AH60" s="381">
        <f t="shared" si="164"/>
        <v>0</v>
      </c>
      <c r="AI60" s="59">
        <f t="shared" si="164"/>
        <v>909989</v>
      </c>
      <c r="AJ60" s="271">
        <f t="shared" si="164"/>
        <v>16441</v>
      </c>
      <c r="AK60" s="271">
        <f t="shared" si="164"/>
        <v>0</v>
      </c>
      <c r="AL60" s="381">
        <f t="shared" si="164"/>
        <v>926430</v>
      </c>
    </row>
    <row r="61" spans="1:38" s="15" customFormat="1" x14ac:dyDescent="0.25">
      <c r="A61" s="384" t="s">
        <v>391</v>
      </c>
      <c r="B61" s="384" t="s">
        <v>392</v>
      </c>
      <c r="C61" s="385"/>
      <c r="D61" s="386"/>
      <c r="E61" s="386"/>
      <c r="F61" s="387"/>
      <c r="G61" s="388"/>
      <c r="H61" s="386"/>
      <c r="I61" s="386"/>
      <c r="J61" s="388">
        <f>SUM(G61:I61)</f>
        <v>0</v>
      </c>
      <c r="K61" s="595">
        <f t="shared" ref="K61:K62" si="165">SUM(G61+C61)</f>
        <v>0</v>
      </c>
      <c r="L61" s="386">
        <f t="shared" ref="L61:L62" si="166">SUM(H61+D61)</f>
        <v>0</v>
      </c>
      <c r="M61" s="386">
        <f t="shared" ref="M61:M62" si="167">SUM(I61+E61)</f>
        <v>0</v>
      </c>
      <c r="N61" s="387">
        <f t="shared" ref="N61:N62" si="168">SUM(K61:M61)</f>
        <v>0</v>
      </c>
      <c r="O61" s="595">
        <v>7362602</v>
      </c>
      <c r="P61" s="386">
        <v>1382664</v>
      </c>
      <c r="Q61" s="386">
        <v>741070</v>
      </c>
      <c r="R61" s="389">
        <f>SUM(O61:Q61)</f>
        <v>9486336</v>
      </c>
      <c r="S61" s="595">
        <v>93162</v>
      </c>
      <c r="T61" s="386">
        <v>41321</v>
      </c>
      <c r="U61" s="386">
        <v>18196</v>
      </c>
      <c r="V61" s="387">
        <f>SUM(S61:U61)</f>
        <v>152679</v>
      </c>
      <c r="W61" s="388">
        <f t="shared" ref="W61:W62" si="169">SUM(S61+O61)</f>
        <v>7455764</v>
      </c>
      <c r="X61" s="386">
        <f t="shared" ref="X61:X62" si="170">SUM(T61+P61)</f>
        <v>1423985</v>
      </c>
      <c r="Y61" s="386">
        <f t="shared" ref="Y61:Y62" si="171">SUM(Q61+U61)</f>
        <v>759266</v>
      </c>
      <c r="Z61" s="387">
        <f>SUM(W61:Y61)</f>
        <v>9639015</v>
      </c>
      <c r="AA61" s="385">
        <f>SUM(O61)</f>
        <v>7362602</v>
      </c>
      <c r="AB61" s="386">
        <f>SUM(P61+D61)</f>
        <v>1382664</v>
      </c>
      <c r="AC61" s="386">
        <f>SUM(Q61+E61)</f>
        <v>741070</v>
      </c>
      <c r="AD61" s="387">
        <f>SUM(AA61:AC61)</f>
        <v>9486336</v>
      </c>
      <c r="AE61" s="385">
        <f>SUM(S61)</f>
        <v>93162</v>
      </c>
      <c r="AF61" s="386">
        <f t="shared" ref="AF61:AG62" si="172">SUM(T61+H61)</f>
        <v>41321</v>
      </c>
      <c r="AG61" s="386">
        <f t="shared" si="172"/>
        <v>18196</v>
      </c>
      <c r="AH61" s="387">
        <f t="shared" ref="AH61:AH62" si="173">SUM(AE61:AG61)</f>
        <v>152679</v>
      </c>
      <c r="AI61" s="385">
        <f t="shared" ref="AI61" si="174">SUM(W61)</f>
        <v>7455764</v>
      </c>
      <c r="AJ61" s="386">
        <f t="shared" ref="AJ61:AK62" si="175">SUM(X61+L61)</f>
        <v>1423985</v>
      </c>
      <c r="AK61" s="386">
        <f t="shared" si="175"/>
        <v>759266</v>
      </c>
      <c r="AL61" s="387">
        <f t="shared" ref="AL61:AL62" si="176">SUM(AI61:AK61)</f>
        <v>9639015</v>
      </c>
    </row>
    <row r="62" spans="1:38" s="15" customFormat="1" x14ac:dyDescent="0.25">
      <c r="A62" s="384" t="s">
        <v>432</v>
      </c>
      <c r="B62" s="384" t="s">
        <v>393</v>
      </c>
      <c r="C62" s="385"/>
      <c r="D62" s="386">
        <v>6800000</v>
      </c>
      <c r="E62" s="386"/>
      <c r="F62" s="387">
        <f>SUM(C62:E62)</f>
        <v>6800000</v>
      </c>
      <c r="G62" s="388"/>
      <c r="H62" s="386"/>
      <c r="I62" s="386"/>
      <c r="J62" s="388">
        <f>SUM(G62:I62)</f>
        <v>0</v>
      </c>
      <c r="K62" s="595">
        <f t="shared" si="165"/>
        <v>0</v>
      </c>
      <c r="L62" s="386">
        <f t="shared" si="166"/>
        <v>6800000</v>
      </c>
      <c r="M62" s="386">
        <f t="shared" si="167"/>
        <v>0</v>
      </c>
      <c r="N62" s="387">
        <f t="shared" si="168"/>
        <v>6800000</v>
      </c>
      <c r="O62" s="595"/>
      <c r="P62" s="386"/>
      <c r="Q62" s="386"/>
      <c r="R62" s="389">
        <f>SUM(O62:Q62)</f>
        <v>0</v>
      </c>
      <c r="S62" s="595"/>
      <c r="T62" s="386"/>
      <c r="U62" s="386"/>
      <c r="V62" s="387">
        <f>SUM(S62:U62)</f>
        <v>0</v>
      </c>
      <c r="W62" s="388">
        <f t="shared" si="169"/>
        <v>0</v>
      </c>
      <c r="X62" s="386">
        <f t="shared" si="170"/>
        <v>0</v>
      </c>
      <c r="Y62" s="386">
        <f t="shared" si="171"/>
        <v>0</v>
      </c>
      <c r="Z62" s="387">
        <f>SUM(W62:Y62)</f>
        <v>0</v>
      </c>
      <c r="AA62" s="385">
        <f>SUM(O62+C62)</f>
        <v>0</v>
      </c>
      <c r="AB62" s="386">
        <f>SUM(P62+D62)</f>
        <v>6800000</v>
      </c>
      <c r="AC62" s="386"/>
      <c r="AD62" s="387">
        <f>SUM(AA62:AC62)</f>
        <v>6800000</v>
      </c>
      <c r="AE62" s="385">
        <f t="shared" ref="AE62" si="177">SUM(S62+G62)</f>
        <v>0</v>
      </c>
      <c r="AF62" s="386">
        <f t="shared" si="172"/>
        <v>0</v>
      </c>
      <c r="AG62" s="386"/>
      <c r="AH62" s="387">
        <f t="shared" si="173"/>
        <v>0</v>
      </c>
      <c r="AI62" s="385">
        <f t="shared" ref="AI62" si="178">SUM(W62+K62)</f>
        <v>0</v>
      </c>
      <c r="AJ62" s="386">
        <f t="shared" si="175"/>
        <v>6800000</v>
      </c>
      <c r="AK62" s="386"/>
      <c r="AL62" s="387">
        <f t="shared" si="176"/>
        <v>6800000</v>
      </c>
    </row>
    <row r="63" spans="1:38" s="15" customFormat="1" ht="31.5" x14ac:dyDescent="0.25">
      <c r="A63" s="384" t="s">
        <v>829</v>
      </c>
      <c r="B63" s="384" t="s">
        <v>830</v>
      </c>
      <c r="C63" s="385"/>
      <c r="D63" s="386">
        <v>6300000</v>
      </c>
      <c r="E63" s="386"/>
      <c r="F63" s="387">
        <f>SUM(C63:E63)</f>
        <v>6300000</v>
      </c>
      <c r="G63" s="388"/>
      <c r="H63" s="386">
        <v>1500000</v>
      </c>
      <c r="I63" s="386"/>
      <c r="J63" s="375">
        <f>SUM(G63:I63)</f>
        <v>1500000</v>
      </c>
      <c r="K63" s="595">
        <f t="shared" ref="K63" si="179">SUM(G63+C63)</f>
        <v>0</v>
      </c>
      <c r="L63" s="386">
        <f t="shared" ref="L63" si="180">SUM(H63+D63)</f>
        <v>7800000</v>
      </c>
      <c r="M63" s="386">
        <f t="shared" ref="M63" si="181">SUM(I63+E63)</f>
        <v>0</v>
      </c>
      <c r="N63" s="387">
        <f t="shared" ref="N63" si="182">SUM(K63:M63)</f>
        <v>7800000</v>
      </c>
      <c r="O63" s="595"/>
      <c r="P63" s="386"/>
      <c r="Q63" s="386"/>
      <c r="R63" s="389">
        <f>SUM(O63:Q63)</f>
        <v>0</v>
      </c>
      <c r="S63" s="388"/>
      <c r="T63" s="386"/>
      <c r="U63" s="386"/>
      <c r="V63" s="387">
        <f>SUM(S63:U63)</f>
        <v>0</v>
      </c>
      <c r="W63" s="388">
        <f t="shared" ref="W63" si="183">SUM(S63+O63)</f>
        <v>0</v>
      </c>
      <c r="X63" s="386">
        <f t="shared" ref="X63" si="184">SUM(T63+P63)</f>
        <v>0</v>
      </c>
      <c r="Y63" s="386">
        <f t="shared" ref="Y63" si="185">SUM(Q63+U63)</f>
        <v>0</v>
      </c>
      <c r="Z63" s="387">
        <f>SUM(W63:Y63)</f>
        <v>0</v>
      </c>
      <c r="AA63" s="385">
        <f>SUM(O63+C63)</f>
        <v>0</v>
      </c>
      <c r="AB63" s="386">
        <f>SUM(P63+D63)</f>
        <v>6300000</v>
      </c>
      <c r="AC63" s="386"/>
      <c r="AD63" s="387">
        <f>SUM(AA63:AC63)</f>
        <v>6300000</v>
      </c>
      <c r="AE63" s="385">
        <f t="shared" ref="AE63" si="186">SUM(S63+G63)</f>
        <v>0</v>
      </c>
      <c r="AF63" s="386">
        <f t="shared" ref="AF63" si="187">SUM(T63+H63)</f>
        <v>1500000</v>
      </c>
      <c r="AG63" s="386"/>
      <c r="AH63" s="387">
        <f t="shared" ref="AH63" si="188">SUM(AE63:AG63)</f>
        <v>1500000</v>
      </c>
      <c r="AI63" s="385">
        <f t="shared" ref="AI63" si="189">SUM(W63+K63)</f>
        <v>0</v>
      </c>
      <c r="AJ63" s="386">
        <f t="shared" ref="AJ63" si="190">SUM(X63+L63)</f>
        <v>7800000</v>
      </c>
      <c r="AK63" s="386"/>
      <c r="AL63" s="387">
        <f t="shared" ref="AL63" si="191">SUM(AI63:AK63)</f>
        <v>7800000</v>
      </c>
    </row>
    <row r="64" spans="1:38" s="25" customFormat="1" ht="31.5" x14ac:dyDescent="0.25">
      <c r="A64" s="390" t="s">
        <v>826</v>
      </c>
      <c r="B64" s="390" t="s">
        <v>222</v>
      </c>
      <c r="C64" s="391">
        <f t="shared" ref="C64:N64" si="192">SUM(C60:C63)</f>
        <v>643386</v>
      </c>
      <c r="D64" s="392">
        <f t="shared" si="192"/>
        <v>13100000</v>
      </c>
      <c r="E64" s="392">
        <f t="shared" si="192"/>
        <v>0</v>
      </c>
      <c r="F64" s="393">
        <f t="shared" si="192"/>
        <v>13743386</v>
      </c>
      <c r="G64" s="394">
        <f t="shared" si="192"/>
        <v>0</v>
      </c>
      <c r="H64" s="414">
        <f t="shared" si="192"/>
        <v>1500000</v>
      </c>
      <c r="I64" s="414">
        <f t="shared" si="192"/>
        <v>0</v>
      </c>
      <c r="J64" s="393">
        <f t="shared" si="192"/>
        <v>1500000</v>
      </c>
      <c r="K64" s="394">
        <f t="shared" si="192"/>
        <v>643386</v>
      </c>
      <c r="L64" s="414">
        <f t="shared" si="192"/>
        <v>14600000</v>
      </c>
      <c r="M64" s="414">
        <f t="shared" si="192"/>
        <v>0</v>
      </c>
      <c r="N64" s="393">
        <f t="shared" si="192"/>
        <v>15243386</v>
      </c>
      <c r="O64" s="609">
        <f>SUM(O60:O62)</f>
        <v>7629205</v>
      </c>
      <c r="P64" s="392">
        <f t="shared" ref="P64:Z64" si="193">SUM(P60:P62)</f>
        <v>1399105</v>
      </c>
      <c r="Q64" s="392">
        <f t="shared" si="193"/>
        <v>741070</v>
      </c>
      <c r="R64" s="395">
        <f t="shared" si="193"/>
        <v>9769380</v>
      </c>
      <c r="S64" s="612">
        <f t="shared" si="193"/>
        <v>93162</v>
      </c>
      <c r="T64" s="414">
        <f t="shared" si="193"/>
        <v>41321</v>
      </c>
      <c r="U64" s="414">
        <f t="shared" si="193"/>
        <v>18196</v>
      </c>
      <c r="V64" s="393">
        <f t="shared" si="193"/>
        <v>152679</v>
      </c>
      <c r="W64" s="612">
        <f t="shared" si="193"/>
        <v>7722367</v>
      </c>
      <c r="X64" s="414">
        <f t="shared" si="193"/>
        <v>1440426</v>
      </c>
      <c r="Y64" s="414">
        <f t="shared" si="193"/>
        <v>759266</v>
      </c>
      <c r="Z64" s="393">
        <f t="shared" si="193"/>
        <v>9922059</v>
      </c>
      <c r="AA64" s="391">
        <f>SUM(AA60:AA63)</f>
        <v>8272591</v>
      </c>
      <c r="AB64" s="392">
        <f>SUM(AB60:AB63)</f>
        <v>14499105</v>
      </c>
      <c r="AC64" s="392">
        <f>SUM(AC60:AC63)</f>
        <v>741070</v>
      </c>
      <c r="AD64" s="393">
        <f>SUM(AD60:AD63)</f>
        <v>23512766</v>
      </c>
      <c r="AE64" s="609">
        <f>SUM(AE60:AE63)</f>
        <v>93162</v>
      </c>
      <c r="AF64" s="414">
        <f t="shared" ref="AF64:AL64" si="194">SUM(AF60:AF63)</f>
        <v>1541321</v>
      </c>
      <c r="AG64" s="414">
        <f t="shared" si="194"/>
        <v>18196</v>
      </c>
      <c r="AH64" s="601">
        <f t="shared" si="194"/>
        <v>1652679</v>
      </c>
      <c r="AI64" s="609">
        <f t="shared" si="194"/>
        <v>8365753</v>
      </c>
      <c r="AJ64" s="414">
        <f t="shared" si="194"/>
        <v>16040426</v>
      </c>
      <c r="AK64" s="414">
        <f t="shared" si="194"/>
        <v>759266</v>
      </c>
      <c r="AL64" s="423">
        <f t="shared" si="194"/>
        <v>25165445</v>
      </c>
    </row>
    <row r="65" spans="1:38" s="25" customFormat="1" x14ac:dyDescent="0.25">
      <c r="A65" s="390" t="s">
        <v>394</v>
      </c>
      <c r="B65" s="390" t="s">
        <v>269</v>
      </c>
      <c r="C65" s="391">
        <v>7491967</v>
      </c>
      <c r="D65" s="392">
        <v>4682664</v>
      </c>
      <c r="E65" s="392">
        <v>741070</v>
      </c>
      <c r="F65" s="393">
        <f>SUM(C65:E65)</f>
        <v>12915701</v>
      </c>
      <c r="G65" s="394">
        <f>'2 kiadás (kötelező, önként)'!G27</f>
        <v>93162</v>
      </c>
      <c r="H65" s="414">
        <f>'2 kiadás (kötelező, önként)'!H27</f>
        <v>1541321</v>
      </c>
      <c r="I65" s="414">
        <f>'2 kiadás (kötelező, önként)'!I27</f>
        <v>18196</v>
      </c>
      <c r="J65" s="394">
        <f>SUM(G65:I65)</f>
        <v>1652679</v>
      </c>
      <c r="K65" s="391">
        <f t="shared" ref="K65" si="195">SUM(G65+C65)</f>
        <v>7585129</v>
      </c>
      <c r="L65" s="392">
        <f t="shared" ref="L65" si="196">SUM(H65+D65)</f>
        <v>6223985</v>
      </c>
      <c r="M65" s="392">
        <f t="shared" ref="M65" si="197">SUM(I65+E65)</f>
        <v>759266</v>
      </c>
      <c r="N65" s="395">
        <f t="shared" ref="N65" si="198">SUM(K65:M65)</f>
        <v>14568380</v>
      </c>
      <c r="O65" s="609"/>
      <c r="P65" s="392"/>
      <c r="Q65" s="392"/>
      <c r="R65" s="395">
        <f>SUM(O65:Q65)</f>
        <v>0</v>
      </c>
      <c r="S65" s="609"/>
      <c r="T65" s="392"/>
      <c r="U65" s="392"/>
      <c r="V65" s="395">
        <f>SUM(S65:U65)</f>
        <v>0</v>
      </c>
      <c r="W65" s="601">
        <f>SUM(S65+O65)</f>
        <v>0</v>
      </c>
      <c r="X65" s="392">
        <f>SUM(T65+P65)</f>
        <v>0</v>
      </c>
      <c r="Y65" s="392">
        <f>SUM(Q65+U65)</f>
        <v>0</v>
      </c>
      <c r="Z65" s="393">
        <f>SUM(W65:Y65)</f>
        <v>0</v>
      </c>
      <c r="AA65" s="391">
        <f>SUM(O65+C65)</f>
        <v>7491967</v>
      </c>
      <c r="AB65" s="392">
        <f>SUM(P65+D65)</f>
        <v>4682664</v>
      </c>
      <c r="AC65" s="392">
        <f>SUM(Q65+E65)</f>
        <v>741070</v>
      </c>
      <c r="AD65" s="393">
        <f>SUM(AA65:AC65)</f>
        <v>12915701</v>
      </c>
      <c r="AE65" s="391">
        <f t="shared" ref="AE65:AG65" si="199">SUM(S65+G65)</f>
        <v>93162</v>
      </c>
      <c r="AF65" s="392">
        <f t="shared" si="199"/>
        <v>1541321</v>
      </c>
      <c r="AG65" s="392">
        <f t="shared" si="199"/>
        <v>18196</v>
      </c>
      <c r="AH65" s="393">
        <f t="shared" ref="AH65" si="200">SUM(AE65:AG65)</f>
        <v>1652679</v>
      </c>
      <c r="AI65" s="391">
        <f t="shared" ref="AI65:AK65" si="201">SUM(W65+K65)</f>
        <v>7585129</v>
      </c>
      <c r="AJ65" s="392">
        <f t="shared" si="201"/>
        <v>6223985</v>
      </c>
      <c r="AK65" s="392">
        <f t="shared" si="201"/>
        <v>759266</v>
      </c>
      <c r="AL65" s="393">
        <f t="shared" ref="AL65" si="202">SUM(AI65:AK65)</f>
        <v>14568380</v>
      </c>
    </row>
    <row r="66" spans="1:38" x14ac:dyDescent="0.25">
      <c r="A66" s="62" t="s">
        <v>395</v>
      </c>
      <c r="B66" s="62"/>
      <c r="C66" s="396"/>
      <c r="D66" s="397"/>
      <c r="E66" s="397"/>
      <c r="F66" s="398">
        <f>SUM(F64-F65)</f>
        <v>827685</v>
      </c>
      <c r="G66" s="399"/>
      <c r="H66" s="397"/>
      <c r="I66" s="397"/>
      <c r="J66" s="399">
        <f>SUM(J64-J65)</f>
        <v>-152679</v>
      </c>
      <c r="K66" s="396"/>
      <c r="L66" s="397"/>
      <c r="M66" s="397"/>
      <c r="N66" s="400">
        <f>SUM(N64-N65)</f>
        <v>675006</v>
      </c>
      <c r="O66" s="610"/>
      <c r="P66" s="397"/>
      <c r="Q66" s="397"/>
      <c r="R66" s="400">
        <f>SUM(R64-R65)</f>
        <v>9769380</v>
      </c>
      <c r="S66" s="610"/>
      <c r="T66" s="397"/>
      <c r="U66" s="397"/>
      <c r="V66" s="400">
        <f>SUM(V64-V65)</f>
        <v>152679</v>
      </c>
      <c r="W66" s="602"/>
      <c r="X66" s="397"/>
      <c r="Y66" s="397"/>
      <c r="Z66" s="398">
        <f>SUM(Z64-Z65)</f>
        <v>9922059</v>
      </c>
      <c r="AA66" s="396"/>
      <c r="AB66" s="397"/>
      <c r="AC66" s="397"/>
      <c r="AD66" s="398">
        <f>SUM(AD64-AD65)</f>
        <v>10597065</v>
      </c>
      <c r="AE66" s="396"/>
      <c r="AF66" s="397"/>
      <c r="AG66" s="397"/>
      <c r="AH66" s="398">
        <f t="shared" ref="AH66" si="203">SUM(AH64-AH65)</f>
        <v>0</v>
      </c>
      <c r="AI66" s="396"/>
      <c r="AJ66" s="397"/>
      <c r="AK66" s="397"/>
      <c r="AL66" s="398">
        <f t="shared" ref="AL66" si="204">SUM(AL64-AL65)</f>
        <v>10597065</v>
      </c>
    </row>
    <row r="67" spans="1:38" s="63" customFormat="1" ht="16.5" thickBot="1" x14ac:dyDescent="0.3">
      <c r="A67" s="64" t="s">
        <v>396</v>
      </c>
      <c r="B67" s="64"/>
      <c r="C67" s="273"/>
      <c r="D67" s="274"/>
      <c r="E67" s="274"/>
      <c r="F67" s="401">
        <f>SUM(F54+F66)</f>
        <v>0</v>
      </c>
      <c r="G67" s="402"/>
      <c r="H67" s="274"/>
      <c r="I67" s="274"/>
      <c r="J67" s="402">
        <f>SUM(J54+J66)</f>
        <v>0</v>
      </c>
      <c r="K67" s="273"/>
      <c r="L67" s="274"/>
      <c r="M67" s="274"/>
      <c r="N67" s="377">
        <f>SUM(N54+N66)</f>
        <v>0</v>
      </c>
      <c r="O67" s="611"/>
      <c r="P67" s="274"/>
      <c r="Q67" s="274"/>
      <c r="R67" s="377">
        <f>SUM(R54+R66)</f>
        <v>0</v>
      </c>
      <c r="S67" s="611"/>
      <c r="T67" s="274"/>
      <c r="U67" s="274"/>
      <c r="V67" s="377">
        <f>SUM(V54+V66)</f>
        <v>0</v>
      </c>
      <c r="W67" s="603"/>
      <c r="X67" s="274"/>
      <c r="Y67" s="274"/>
      <c r="Z67" s="401">
        <f>SUM(Z54+Z66)</f>
        <v>0</v>
      </c>
      <c r="AA67" s="273"/>
      <c r="AB67" s="274"/>
      <c r="AC67" s="274"/>
      <c r="AD67" s="401">
        <f>SUM(AD54+AD66)</f>
        <v>0</v>
      </c>
      <c r="AE67" s="273"/>
      <c r="AF67" s="274"/>
      <c r="AG67" s="274"/>
      <c r="AH67" s="401">
        <f t="shared" ref="AH67" si="205">SUM(AH54+AH66)</f>
        <v>0</v>
      </c>
      <c r="AI67" s="273"/>
      <c r="AJ67" s="274"/>
      <c r="AK67" s="274"/>
      <c r="AL67" s="401">
        <f t="shared" ref="AL67" si="206">SUM(AL54+AL66)</f>
        <v>0</v>
      </c>
    </row>
    <row r="68" spans="1:38" s="63" customFormat="1" ht="29.25" customHeight="1" thickTop="1" x14ac:dyDescent="0.25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E68" s="65"/>
      <c r="AI68" s="65"/>
    </row>
    <row r="69" spans="1:38" s="63" customFormat="1" x14ac:dyDescent="0.25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</row>
    <row r="70" spans="1:38" s="63" customFormat="1" x14ac:dyDescent="0.25">
      <c r="A70" s="65"/>
    </row>
    <row r="71" spans="1:38" s="63" customFormat="1" x14ac:dyDescent="0.25">
      <c r="A71" s="65"/>
    </row>
    <row r="72" spans="1:38" s="63" customFormat="1" x14ac:dyDescent="0.25">
      <c r="A72" s="65"/>
    </row>
    <row r="73" spans="1:38" s="63" customFormat="1" x14ac:dyDescent="0.25"/>
    <row r="74" spans="1:38" s="63" customFormat="1" x14ac:dyDescent="0.25"/>
    <row r="75" spans="1:38" s="63" customFormat="1" x14ac:dyDescent="0.25">
      <c r="A75" s="66"/>
      <c r="B75" s="66"/>
    </row>
    <row r="76" spans="1:38" s="68" customFormat="1" x14ac:dyDescent="0.25">
      <c r="A76" s="67"/>
      <c r="B76" s="67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</row>
    <row r="77" spans="1:38" s="68" customFormat="1" x14ac:dyDescent="0.25">
      <c r="A77" s="69"/>
      <c r="B77" s="69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</row>
    <row r="78" spans="1:38" s="68" customFormat="1" x14ac:dyDescent="0.25">
      <c r="A78" s="70"/>
      <c r="B78" s="70"/>
    </row>
    <row r="79" spans="1:38" s="68" customFormat="1" x14ac:dyDescent="0.25">
      <c r="A79" s="71"/>
      <c r="B79" s="71"/>
    </row>
    <row r="80" spans="1:38" s="68" customFormat="1" x14ac:dyDescent="0.25">
      <c r="A80" s="72"/>
      <c r="B80" s="72"/>
    </row>
    <row r="81" spans="1:38" s="68" customFormat="1" x14ac:dyDescent="0.25">
      <c r="A81" s="70"/>
      <c r="B81" s="70"/>
    </row>
    <row r="82" spans="1:38" s="68" customFormat="1" x14ac:dyDescent="0.25">
      <c r="A82" s="71"/>
      <c r="B82" s="71"/>
    </row>
    <row r="83" spans="1:38" s="68" customFormat="1" x14ac:dyDescent="0.25">
      <c r="A83" s="71"/>
      <c r="B83" s="71"/>
    </row>
    <row r="84" spans="1:38" s="68" customFormat="1" x14ac:dyDescent="0.25">
      <c r="A84" s="70"/>
      <c r="B84" s="70"/>
    </row>
    <row r="85" spans="1:38" s="68" customFormat="1" x14ac:dyDescent="0.25">
      <c r="A85" s="71"/>
      <c r="B85" s="71"/>
    </row>
    <row r="86" spans="1:38" s="68" customFormat="1" x14ac:dyDescent="0.25">
      <c r="A86" s="71"/>
      <c r="B86" s="71"/>
    </row>
    <row r="87" spans="1:38" s="68" customFormat="1" x14ac:dyDescent="0.25">
      <c r="A87" s="71"/>
      <c r="B87" s="71"/>
    </row>
    <row r="88" spans="1:38" s="68" customFormat="1" x14ac:dyDescent="0.25">
      <c r="A88" s="71"/>
      <c r="B88" s="71"/>
    </row>
    <row r="89" spans="1:38" s="68" customFormat="1" x14ac:dyDescent="0.25">
      <c r="A89" s="70"/>
      <c r="B89" s="70"/>
    </row>
    <row r="90" spans="1:38" s="68" customFormat="1" x14ac:dyDescent="0.25">
      <c r="A90" s="71"/>
      <c r="B90" s="71"/>
    </row>
    <row r="91" spans="1:38" s="68" customFormat="1" x14ac:dyDescent="0.25">
      <c r="A91" s="71"/>
      <c r="B91" s="71"/>
    </row>
    <row r="92" spans="1:38" s="68" customFormat="1" x14ac:dyDescent="0.25">
      <c r="A92" s="71"/>
      <c r="B92" s="71"/>
    </row>
    <row r="93" spans="1:38" s="68" customFormat="1" x14ac:dyDescent="0.25">
      <c r="A93" s="71"/>
      <c r="B93" s="71"/>
    </row>
    <row r="94" spans="1:38" s="68" customFormat="1" x14ac:dyDescent="0.25">
      <c r="A94" s="71"/>
      <c r="B94" s="71"/>
    </row>
    <row r="95" spans="1:38" x14ac:dyDescent="0.25">
      <c r="A95" s="71"/>
      <c r="B95" s="71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</row>
    <row r="96" spans="1:38" x14ac:dyDescent="0.25">
      <c r="A96" s="71"/>
      <c r="B96" s="71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  <row r="198" spans="1:2" x14ac:dyDescent="0.25">
      <c r="A198" s="73"/>
      <c r="B198" s="73"/>
    </row>
    <row r="199" spans="1:2" x14ac:dyDescent="0.25">
      <c r="A199" s="73"/>
      <c r="B199" s="73"/>
    </row>
    <row r="200" spans="1:2" x14ac:dyDescent="0.25">
      <c r="A200" s="73"/>
      <c r="B200" s="73"/>
    </row>
    <row r="201" spans="1:2" x14ac:dyDescent="0.25">
      <c r="A201" s="73"/>
      <c r="B201" s="73"/>
    </row>
    <row r="202" spans="1:2" x14ac:dyDescent="0.25">
      <c r="A202" s="73"/>
      <c r="B202" s="73"/>
    </row>
    <row r="203" spans="1:2" x14ac:dyDescent="0.25">
      <c r="A203" s="73"/>
      <c r="B203" s="73"/>
    </row>
    <row r="204" spans="1:2" x14ac:dyDescent="0.25">
      <c r="A204" s="73"/>
      <c r="B204" s="73"/>
    </row>
    <row r="205" spans="1:2" x14ac:dyDescent="0.25">
      <c r="A205" s="73"/>
      <c r="B205" s="73"/>
    </row>
    <row r="206" spans="1:2" x14ac:dyDescent="0.25">
      <c r="A206" s="73"/>
      <c r="B206" s="73"/>
    </row>
    <row r="207" spans="1:2" x14ac:dyDescent="0.25">
      <c r="A207" s="73"/>
      <c r="B207" s="73"/>
    </row>
    <row r="208" spans="1:2" x14ac:dyDescent="0.25">
      <c r="A208" s="73"/>
      <c r="B208" s="73"/>
    </row>
    <row r="209" spans="1:2" x14ac:dyDescent="0.25">
      <c r="A209" s="73"/>
      <c r="B209" s="73"/>
    </row>
    <row r="210" spans="1:2" x14ac:dyDescent="0.25">
      <c r="A210" s="73"/>
      <c r="B210" s="73"/>
    </row>
    <row r="211" spans="1:2" x14ac:dyDescent="0.25">
      <c r="A211" s="73"/>
      <c r="B211" s="73"/>
    </row>
    <row r="212" spans="1:2" x14ac:dyDescent="0.25">
      <c r="A212" s="73"/>
      <c r="B212" s="73"/>
    </row>
    <row r="213" spans="1:2" x14ac:dyDescent="0.25">
      <c r="A213" s="73"/>
      <c r="B213" s="73"/>
    </row>
    <row r="214" spans="1:2" x14ac:dyDescent="0.25">
      <c r="A214" s="73"/>
      <c r="B214" s="73"/>
    </row>
    <row r="215" spans="1:2" x14ac:dyDescent="0.25">
      <c r="A215" s="73"/>
      <c r="B215" s="73"/>
    </row>
    <row r="216" spans="1:2" x14ac:dyDescent="0.25">
      <c r="A216" s="73"/>
      <c r="B216" s="73"/>
    </row>
    <row r="217" spans="1:2" x14ac:dyDescent="0.25">
      <c r="A217" s="73"/>
      <c r="B217" s="73"/>
    </row>
    <row r="218" spans="1:2" x14ac:dyDescent="0.25">
      <c r="A218" s="73"/>
      <c r="B218" s="73"/>
    </row>
    <row r="219" spans="1:2" x14ac:dyDescent="0.25">
      <c r="A219" s="73"/>
      <c r="B219" s="73"/>
    </row>
    <row r="220" spans="1:2" x14ac:dyDescent="0.25">
      <c r="A220" s="73"/>
      <c r="B220" s="73"/>
    </row>
    <row r="221" spans="1:2" x14ac:dyDescent="0.25">
      <c r="A221" s="73"/>
      <c r="B221" s="73"/>
    </row>
    <row r="222" spans="1:2" x14ac:dyDescent="0.25">
      <c r="A222" s="73"/>
      <c r="B222" s="73"/>
    </row>
    <row r="223" spans="1:2" x14ac:dyDescent="0.25">
      <c r="A223" s="73"/>
      <c r="B223" s="73"/>
    </row>
    <row r="224" spans="1:2" x14ac:dyDescent="0.25">
      <c r="A224" s="73"/>
      <c r="B224" s="73"/>
    </row>
    <row r="225" spans="1:2" x14ac:dyDescent="0.25">
      <c r="A225" s="73"/>
      <c r="B225" s="73"/>
    </row>
    <row r="226" spans="1:2" x14ac:dyDescent="0.25">
      <c r="A226" s="73"/>
      <c r="B226" s="73"/>
    </row>
    <row r="227" spans="1:2" x14ac:dyDescent="0.25">
      <c r="A227" s="73"/>
      <c r="B227" s="73"/>
    </row>
    <row r="228" spans="1:2" x14ac:dyDescent="0.25">
      <c r="A228" s="73"/>
      <c r="B228" s="73"/>
    </row>
    <row r="229" spans="1:2" x14ac:dyDescent="0.25">
      <c r="A229" s="73"/>
      <c r="B229" s="73"/>
    </row>
    <row r="230" spans="1:2" x14ac:dyDescent="0.25">
      <c r="A230" s="73"/>
      <c r="B230" s="73"/>
    </row>
    <row r="231" spans="1:2" x14ac:dyDescent="0.25">
      <c r="A231" s="73"/>
      <c r="B231" s="73"/>
    </row>
    <row r="232" spans="1:2" x14ac:dyDescent="0.25">
      <c r="A232" s="73"/>
      <c r="B232" s="73"/>
    </row>
    <row r="233" spans="1:2" x14ac:dyDescent="0.25">
      <c r="A233" s="73"/>
      <c r="B233" s="73"/>
    </row>
    <row r="234" spans="1:2" x14ac:dyDescent="0.25">
      <c r="A234" s="73"/>
      <c r="B234" s="73"/>
    </row>
    <row r="235" spans="1:2" x14ac:dyDescent="0.25">
      <c r="A235" s="73"/>
      <c r="B235" s="73"/>
    </row>
    <row r="236" spans="1:2" x14ac:dyDescent="0.25">
      <c r="A236" s="73"/>
      <c r="B236" s="73"/>
    </row>
    <row r="237" spans="1:2" x14ac:dyDescent="0.25">
      <c r="A237" s="73"/>
      <c r="B237" s="73"/>
    </row>
    <row r="238" spans="1:2" x14ac:dyDescent="0.25">
      <c r="A238" s="73"/>
      <c r="B238" s="73"/>
    </row>
    <row r="239" spans="1:2" x14ac:dyDescent="0.25">
      <c r="A239" s="73"/>
      <c r="B239" s="73"/>
    </row>
    <row r="240" spans="1:2" x14ac:dyDescent="0.25">
      <c r="A240" s="73"/>
      <c r="B240" s="73"/>
    </row>
    <row r="241" spans="1:2" x14ac:dyDescent="0.25">
      <c r="A241" s="73"/>
      <c r="B241" s="73"/>
    </row>
    <row r="242" spans="1:2" x14ac:dyDescent="0.25">
      <c r="A242" s="73"/>
      <c r="B242" s="73"/>
    </row>
    <row r="243" spans="1:2" x14ac:dyDescent="0.25">
      <c r="A243" s="73"/>
      <c r="B243" s="73"/>
    </row>
    <row r="244" spans="1:2" x14ac:dyDescent="0.25">
      <c r="A244" s="73"/>
      <c r="B244" s="73"/>
    </row>
    <row r="245" spans="1:2" x14ac:dyDescent="0.25">
      <c r="A245" s="73"/>
      <c r="B245" s="73"/>
    </row>
    <row r="246" spans="1:2" x14ac:dyDescent="0.25">
      <c r="A246" s="73"/>
      <c r="B246" s="73"/>
    </row>
    <row r="247" spans="1:2" x14ac:dyDescent="0.25">
      <c r="A247" s="73"/>
      <c r="B247" s="73"/>
    </row>
    <row r="248" spans="1:2" x14ac:dyDescent="0.25">
      <c r="A248" s="73"/>
      <c r="B248" s="73"/>
    </row>
    <row r="249" spans="1:2" x14ac:dyDescent="0.25">
      <c r="A249" s="73"/>
      <c r="B249" s="73"/>
    </row>
    <row r="250" spans="1:2" x14ac:dyDescent="0.25">
      <c r="A250" s="73"/>
      <c r="B250" s="73"/>
    </row>
    <row r="251" spans="1:2" x14ac:dyDescent="0.25">
      <c r="A251" s="73"/>
      <c r="B251" s="73"/>
    </row>
    <row r="252" spans="1:2" x14ac:dyDescent="0.25">
      <c r="A252" s="73"/>
      <c r="B252" s="73"/>
    </row>
    <row r="253" spans="1:2" x14ac:dyDescent="0.25">
      <c r="A253" s="73"/>
      <c r="B253" s="73"/>
    </row>
    <row r="254" spans="1:2" x14ac:dyDescent="0.25">
      <c r="A254" s="73"/>
      <c r="B254" s="73"/>
    </row>
    <row r="255" spans="1:2" x14ac:dyDescent="0.25">
      <c r="A255" s="73"/>
      <c r="B255" s="73"/>
    </row>
    <row r="256" spans="1:2" x14ac:dyDescent="0.25">
      <c r="A256" s="73"/>
      <c r="B256" s="73"/>
    </row>
    <row r="257" spans="1:2" x14ac:dyDescent="0.25">
      <c r="A257" s="73"/>
      <c r="B257" s="73"/>
    </row>
    <row r="258" spans="1:2" x14ac:dyDescent="0.25">
      <c r="A258" s="73"/>
      <c r="B258" s="73"/>
    </row>
    <row r="259" spans="1:2" x14ac:dyDescent="0.25">
      <c r="A259" s="73"/>
      <c r="B259" s="73"/>
    </row>
    <row r="260" spans="1:2" x14ac:dyDescent="0.25">
      <c r="A260" s="73"/>
      <c r="B260" s="73"/>
    </row>
    <row r="261" spans="1:2" x14ac:dyDescent="0.25">
      <c r="A261" s="73"/>
      <c r="B261" s="73"/>
    </row>
    <row r="262" spans="1:2" x14ac:dyDescent="0.25">
      <c r="A262" s="73"/>
      <c r="B262" s="73"/>
    </row>
    <row r="263" spans="1:2" x14ac:dyDescent="0.25">
      <c r="A263" s="73"/>
      <c r="B263" s="73"/>
    </row>
    <row r="264" spans="1:2" x14ac:dyDescent="0.25">
      <c r="A264" s="73"/>
      <c r="B264" s="73"/>
    </row>
    <row r="265" spans="1:2" x14ac:dyDescent="0.25">
      <c r="A265" s="73"/>
      <c r="B265" s="73"/>
    </row>
    <row r="266" spans="1:2" x14ac:dyDescent="0.25">
      <c r="A266" s="73"/>
      <c r="B266" s="73"/>
    </row>
    <row r="267" spans="1:2" x14ac:dyDescent="0.25">
      <c r="A267" s="73"/>
      <c r="B267" s="73"/>
    </row>
    <row r="268" spans="1:2" x14ac:dyDescent="0.25">
      <c r="A268" s="73"/>
      <c r="B268" s="73"/>
    </row>
    <row r="269" spans="1:2" x14ac:dyDescent="0.25">
      <c r="A269" s="73"/>
      <c r="B269" s="73"/>
    </row>
    <row r="270" spans="1:2" x14ac:dyDescent="0.25">
      <c r="A270" s="73"/>
      <c r="B270" s="73"/>
    </row>
    <row r="271" spans="1:2" x14ac:dyDescent="0.25">
      <c r="A271" s="73"/>
      <c r="B271" s="73"/>
    </row>
    <row r="272" spans="1:2" x14ac:dyDescent="0.25">
      <c r="A272" s="73"/>
      <c r="B272" s="73"/>
    </row>
    <row r="273" spans="1:2" x14ac:dyDescent="0.25">
      <c r="A273" s="73"/>
      <c r="B273" s="73"/>
    </row>
    <row r="274" spans="1:2" x14ac:dyDescent="0.25">
      <c r="A274" s="73"/>
      <c r="B274" s="73"/>
    </row>
    <row r="275" spans="1:2" x14ac:dyDescent="0.25">
      <c r="A275" s="73"/>
      <c r="B275" s="73"/>
    </row>
    <row r="276" spans="1:2" x14ac:dyDescent="0.25">
      <c r="A276" s="73"/>
      <c r="B276" s="73"/>
    </row>
    <row r="277" spans="1:2" x14ac:dyDescent="0.25">
      <c r="A277" s="73"/>
      <c r="B277" s="73"/>
    </row>
    <row r="278" spans="1:2" x14ac:dyDescent="0.25">
      <c r="A278" s="73"/>
      <c r="B278" s="73"/>
    </row>
    <row r="279" spans="1:2" x14ac:dyDescent="0.25">
      <c r="A279" s="73"/>
      <c r="B279" s="73"/>
    </row>
    <row r="280" spans="1:2" x14ac:dyDescent="0.25">
      <c r="A280" s="73"/>
      <c r="B280" s="73"/>
    </row>
    <row r="281" spans="1:2" x14ac:dyDescent="0.25">
      <c r="A281" s="73"/>
      <c r="B281" s="73"/>
    </row>
    <row r="282" spans="1:2" x14ac:dyDescent="0.25">
      <c r="A282" s="73"/>
      <c r="B282" s="73"/>
    </row>
    <row r="283" spans="1:2" x14ac:dyDescent="0.25">
      <c r="A283" s="73"/>
      <c r="B283" s="73"/>
    </row>
    <row r="284" spans="1:2" x14ac:dyDescent="0.25">
      <c r="A284" s="73"/>
      <c r="B284" s="73"/>
    </row>
    <row r="285" spans="1:2" x14ac:dyDescent="0.25">
      <c r="A285" s="73"/>
      <c r="B285" s="73"/>
    </row>
    <row r="286" spans="1:2" x14ac:dyDescent="0.25">
      <c r="A286" s="73"/>
      <c r="B286" s="73"/>
    </row>
    <row r="287" spans="1:2" x14ac:dyDescent="0.25">
      <c r="A287" s="73"/>
      <c r="B287" s="73"/>
    </row>
    <row r="288" spans="1:2" x14ac:dyDescent="0.25">
      <c r="A288" s="73"/>
      <c r="B288" s="73"/>
    </row>
    <row r="289" spans="1:2" x14ac:dyDescent="0.25">
      <c r="A289" s="73"/>
      <c r="B289" s="73"/>
    </row>
    <row r="290" spans="1:2" x14ac:dyDescent="0.25">
      <c r="A290" s="73"/>
      <c r="B290" s="73"/>
    </row>
    <row r="291" spans="1:2" x14ac:dyDescent="0.25">
      <c r="A291" s="73"/>
      <c r="B291" s="73"/>
    </row>
    <row r="292" spans="1:2" x14ac:dyDescent="0.25">
      <c r="A292" s="73"/>
      <c r="B292" s="73"/>
    </row>
    <row r="293" spans="1:2" x14ac:dyDescent="0.25">
      <c r="A293" s="73"/>
      <c r="B293" s="73"/>
    </row>
    <row r="294" spans="1:2" x14ac:dyDescent="0.25">
      <c r="A294" s="73"/>
      <c r="B294" s="73"/>
    </row>
    <row r="295" spans="1:2" x14ac:dyDescent="0.25">
      <c r="A295" s="73"/>
      <c r="B295" s="73"/>
    </row>
    <row r="296" spans="1:2" x14ac:dyDescent="0.25">
      <c r="A296" s="73"/>
      <c r="B296" s="73"/>
    </row>
    <row r="297" spans="1:2" x14ac:dyDescent="0.25">
      <c r="A297" s="73"/>
      <c r="B297" s="73"/>
    </row>
    <row r="298" spans="1:2" x14ac:dyDescent="0.25">
      <c r="A298" s="73"/>
      <c r="B298" s="73"/>
    </row>
    <row r="299" spans="1:2" x14ac:dyDescent="0.25">
      <c r="A299" s="73"/>
      <c r="B299" s="73"/>
    </row>
    <row r="300" spans="1:2" x14ac:dyDescent="0.25">
      <c r="A300" s="73"/>
      <c r="B300" s="73"/>
    </row>
    <row r="301" spans="1:2" x14ac:dyDescent="0.25">
      <c r="A301" s="73"/>
      <c r="B301" s="73"/>
    </row>
    <row r="302" spans="1:2" x14ac:dyDescent="0.25">
      <c r="A302" s="73"/>
      <c r="B302" s="73"/>
    </row>
    <row r="303" spans="1:2" x14ac:dyDescent="0.25">
      <c r="A303" s="73"/>
      <c r="B303" s="73"/>
    </row>
    <row r="304" spans="1:2" x14ac:dyDescent="0.25">
      <c r="A304" s="73"/>
      <c r="B304" s="73"/>
    </row>
    <row r="305" spans="1:2" x14ac:dyDescent="0.25">
      <c r="A305" s="73"/>
      <c r="B305" s="73"/>
    </row>
    <row r="306" spans="1:2" x14ac:dyDescent="0.25">
      <c r="A306" s="73"/>
      <c r="B306" s="73"/>
    </row>
    <row r="307" spans="1:2" x14ac:dyDescent="0.25">
      <c r="A307" s="73"/>
      <c r="B307" s="73"/>
    </row>
    <row r="308" spans="1:2" x14ac:dyDescent="0.25">
      <c r="A308" s="73"/>
      <c r="B308" s="73"/>
    </row>
    <row r="309" spans="1:2" x14ac:dyDescent="0.25">
      <c r="A309" s="73"/>
      <c r="B309" s="73"/>
    </row>
    <row r="310" spans="1:2" x14ac:dyDescent="0.25">
      <c r="A310" s="73"/>
      <c r="B310" s="73"/>
    </row>
    <row r="311" spans="1:2" x14ac:dyDescent="0.25">
      <c r="A311" s="73"/>
      <c r="B311" s="73"/>
    </row>
    <row r="312" spans="1:2" x14ac:dyDescent="0.25">
      <c r="A312" s="73"/>
      <c r="B312" s="73"/>
    </row>
    <row r="313" spans="1:2" x14ac:dyDescent="0.25">
      <c r="A313" s="73"/>
      <c r="B313" s="73"/>
    </row>
    <row r="314" spans="1:2" x14ac:dyDescent="0.25">
      <c r="A314" s="73"/>
      <c r="B314" s="73"/>
    </row>
    <row r="315" spans="1:2" x14ac:dyDescent="0.25">
      <c r="A315" s="73"/>
      <c r="B315" s="73"/>
    </row>
    <row r="316" spans="1:2" x14ac:dyDescent="0.25">
      <c r="A316" s="73"/>
      <c r="B316" s="73"/>
    </row>
    <row r="317" spans="1:2" x14ac:dyDescent="0.25">
      <c r="A317" s="73"/>
      <c r="B317" s="73"/>
    </row>
    <row r="318" spans="1:2" x14ac:dyDescent="0.25">
      <c r="A318" s="73"/>
      <c r="B318" s="73"/>
    </row>
    <row r="319" spans="1:2" x14ac:dyDescent="0.25">
      <c r="A319" s="73"/>
      <c r="B319" s="73"/>
    </row>
    <row r="320" spans="1:2" x14ac:dyDescent="0.25">
      <c r="A320" s="73"/>
      <c r="B320" s="73"/>
    </row>
    <row r="321" spans="1:2" x14ac:dyDescent="0.25">
      <c r="A321" s="73"/>
      <c r="B321" s="73"/>
    </row>
    <row r="322" spans="1:2" x14ac:dyDescent="0.25">
      <c r="A322" s="73"/>
      <c r="B322" s="73"/>
    </row>
    <row r="323" spans="1:2" x14ac:dyDescent="0.25">
      <c r="A323" s="73"/>
      <c r="B323" s="73"/>
    </row>
    <row r="324" spans="1:2" x14ac:dyDescent="0.25">
      <c r="A324" s="73"/>
      <c r="B324" s="73"/>
    </row>
    <row r="325" spans="1:2" x14ac:dyDescent="0.25">
      <c r="A325" s="73"/>
      <c r="B325" s="73"/>
    </row>
    <row r="326" spans="1:2" x14ac:dyDescent="0.25">
      <c r="A326" s="73"/>
      <c r="B326" s="73"/>
    </row>
    <row r="327" spans="1:2" x14ac:dyDescent="0.25">
      <c r="A327" s="73"/>
      <c r="B327" s="73"/>
    </row>
    <row r="328" spans="1:2" x14ac:dyDescent="0.25">
      <c r="A328" s="73"/>
      <c r="B328" s="73"/>
    </row>
    <row r="329" spans="1:2" x14ac:dyDescent="0.25">
      <c r="A329" s="73"/>
      <c r="B329" s="73"/>
    </row>
    <row r="330" spans="1:2" x14ac:dyDescent="0.25">
      <c r="A330" s="73"/>
      <c r="B330" s="73"/>
    </row>
    <row r="331" spans="1:2" x14ac:dyDescent="0.25">
      <c r="A331" s="73"/>
      <c r="B331" s="73"/>
    </row>
    <row r="332" spans="1:2" x14ac:dyDescent="0.25">
      <c r="A332" s="73"/>
      <c r="B332" s="73"/>
    </row>
    <row r="333" spans="1:2" x14ac:dyDescent="0.25">
      <c r="A333" s="73"/>
      <c r="B333" s="73"/>
    </row>
    <row r="334" spans="1:2" x14ac:dyDescent="0.25">
      <c r="A334" s="73"/>
      <c r="B334" s="73"/>
    </row>
    <row r="335" spans="1:2" x14ac:dyDescent="0.25">
      <c r="A335" s="73"/>
      <c r="B335" s="73"/>
    </row>
    <row r="336" spans="1:2" x14ac:dyDescent="0.25">
      <c r="A336" s="73"/>
      <c r="B336" s="73"/>
    </row>
    <row r="337" spans="1:2" x14ac:dyDescent="0.25">
      <c r="A337" s="73"/>
      <c r="B337" s="73"/>
    </row>
    <row r="338" spans="1:2" x14ac:dyDescent="0.25">
      <c r="A338" s="73"/>
      <c r="B338" s="73"/>
    </row>
    <row r="339" spans="1:2" x14ac:dyDescent="0.25">
      <c r="A339" s="73"/>
      <c r="B339" s="73"/>
    </row>
    <row r="340" spans="1:2" x14ac:dyDescent="0.25">
      <c r="A340" s="73"/>
      <c r="B340" s="73"/>
    </row>
    <row r="341" spans="1:2" x14ac:dyDescent="0.25">
      <c r="A341" s="73"/>
      <c r="B341" s="73"/>
    </row>
    <row r="342" spans="1:2" x14ac:dyDescent="0.25">
      <c r="A342" s="73"/>
      <c r="B342" s="73"/>
    </row>
    <row r="343" spans="1:2" x14ac:dyDescent="0.25">
      <c r="A343" s="73"/>
      <c r="B343" s="73"/>
    </row>
    <row r="344" spans="1:2" x14ac:dyDescent="0.25">
      <c r="A344" s="73"/>
      <c r="B344" s="73"/>
    </row>
    <row r="345" spans="1:2" x14ac:dyDescent="0.25">
      <c r="A345" s="73"/>
      <c r="B345" s="73"/>
    </row>
    <row r="346" spans="1:2" x14ac:dyDescent="0.25">
      <c r="A346" s="73"/>
      <c r="B346" s="73"/>
    </row>
    <row r="347" spans="1:2" x14ac:dyDescent="0.25">
      <c r="A347" s="73"/>
      <c r="B347" s="73"/>
    </row>
    <row r="348" spans="1:2" x14ac:dyDescent="0.25">
      <c r="A348" s="73"/>
      <c r="B348" s="73"/>
    </row>
    <row r="349" spans="1:2" x14ac:dyDescent="0.25">
      <c r="A349" s="73"/>
      <c r="B349" s="73"/>
    </row>
    <row r="350" spans="1:2" x14ac:dyDescent="0.25">
      <c r="A350" s="73"/>
      <c r="B350" s="73"/>
    </row>
    <row r="351" spans="1:2" x14ac:dyDescent="0.25">
      <c r="A351" s="73"/>
      <c r="B351" s="73"/>
    </row>
    <row r="352" spans="1:2" x14ac:dyDescent="0.25">
      <c r="A352" s="73"/>
      <c r="B352" s="73"/>
    </row>
    <row r="353" spans="1:2" x14ac:dyDescent="0.25">
      <c r="A353" s="73"/>
      <c r="B353" s="73"/>
    </row>
    <row r="354" spans="1:2" x14ac:dyDescent="0.25">
      <c r="A354" s="73"/>
      <c r="B354" s="73"/>
    </row>
    <row r="355" spans="1:2" x14ac:dyDescent="0.25">
      <c r="A355" s="73"/>
      <c r="B355" s="73"/>
    </row>
    <row r="356" spans="1:2" x14ac:dyDescent="0.25">
      <c r="A356" s="73"/>
      <c r="B356" s="73"/>
    </row>
    <row r="357" spans="1:2" x14ac:dyDescent="0.25">
      <c r="A357" s="73"/>
      <c r="B357" s="73"/>
    </row>
    <row r="358" spans="1:2" x14ac:dyDescent="0.25">
      <c r="A358" s="73"/>
      <c r="B358" s="73"/>
    </row>
    <row r="359" spans="1:2" x14ac:dyDescent="0.25">
      <c r="A359" s="73"/>
      <c r="B359" s="73"/>
    </row>
    <row r="360" spans="1:2" x14ac:dyDescent="0.25">
      <c r="A360" s="73"/>
      <c r="B360" s="73"/>
    </row>
    <row r="361" spans="1:2" x14ac:dyDescent="0.25">
      <c r="A361" s="73"/>
      <c r="B361" s="73"/>
    </row>
    <row r="362" spans="1:2" x14ac:dyDescent="0.25">
      <c r="A362" s="73"/>
      <c r="B362" s="73"/>
    </row>
    <row r="363" spans="1:2" x14ac:dyDescent="0.25">
      <c r="A363" s="73"/>
      <c r="B363" s="73"/>
    </row>
    <row r="364" spans="1:2" x14ac:dyDescent="0.25">
      <c r="A364" s="73"/>
      <c r="B364" s="73"/>
    </row>
    <row r="365" spans="1:2" x14ac:dyDescent="0.25">
      <c r="A365" s="73"/>
      <c r="B365" s="73"/>
    </row>
    <row r="366" spans="1:2" x14ac:dyDescent="0.25">
      <c r="A366" s="73"/>
      <c r="B366" s="73"/>
    </row>
    <row r="367" spans="1:2" x14ac:dyDescent="0.25">
      <c r="A367" s="73"/>
      <c r="B367" s="73"/>
    </row>
    <row r="368" spans="1:2" x14ac:dyDescent="0.25">
      <c r="A368" s="73"/>
      <c r="B368" s="73"/>
    </row>
    <row r="369" spans="1:2" x14ac:dyDescent="0.25">
      <c r="A369" s="73"/>
      <c r="B369" s="73"/>
    </row>
    <row r="370" spans="1:2" x14ac:dyDescent="0.25">
      <c r="A370" s="73"/>
      <c r="B370" s="73"/>
    </row>
    <row r="371" spans="1:2" x14ac:dyDescent="0.25">
      <c r="A371" s="73"/>
      <c r="B371" s="73"/>
    </row>
    <row r="372" spans="1:2" x14ac:dyDescent="0.25">
      <c r="A372" s="73"/>
      <c r="B372" s="73"/>
    </row>
    <row r="373" spans="1:2" x14ac:dyDescent="0.25">
      <c r="A373" s="73"/>
      <c r="B373" s="73"/>
    </row>
    <row r="374" spans="1:2" x14ac:dyDescent="0.25">
      <c r="A374" s="73"/>
      <c r="B374" s="73"/>
    </row>
    <row r="375" spans="1:2" x14ac:dyDescent="0.25">
      <c r="A375" s="73"/>
      <c r="B375" s="73"/>
    </row>
    <row r="376" spans="1:2" x14ac:dyDescent="0.25">
      <c r="A376" s="73"/>
      <c r="B376" s="73"/>
    </row>
    <row r="377" spans="1:2" x14ac:dyDescent="0.25">
      <c r="A377" s="73"/>
      <c r="B377" s="73"/>
    </row>
    <row r="378" spans="1:2" x14ac:dyDescent="0.25">
      <c r="A378" s="73"/>
      <c r="B378" s="73"/>
    </row>
    <row r="379" spans="1:2" x14ac:dyDescent="0.25">
      <c r="A379" s="73"/>
      <c r="B379" s="73"/>
    </row>
    <row r="380" spans="1:2" x14ac:dyDescent="0.25">
      <c r="A380" s="73"/>
      <c r="B380" s="73"/>
    </row>
    <row r="381" spans="1:2" x14ac:dyDescent="0.25">
      <c r="A381" s="73"/>
      <c r="B381" s="73"/>
    </row>
    <row r="382" spans="1:2" x14ac:dyDescent="0.25">
      <c r="A382" s="73"/>
      <c r="B382" s="73"/>
    </row>
    <row r="383" spans="1:2" x14ac:dyDescent="0.25">
      <c r="A383" s="73"/>
      <c r="B383" s="73"/>
    </row>
    <row r="384" spans="1:2" x14ac:dyDescent="0.25">
      <c r="A384" s="73"/>
      <c r="B384" s="73"/>
    </row>
    <row r="385" spans="1:2" x14ac:dyDescent="0.25">
      <c r="A385" s="73"/>
      <c r="B385" s="73"/>
    </row>
    <row r="386" spans="1:2" x14ac:dyDescent="0.25">
      <c r="A386" s="73"/>
      <c r="B386" s="73"/>
    </row>
    <row r="387" spans="1:2" x14ac:dyDescent="0.25">
      <c r="A387" s="73"/>
      <c r="B387" s="73"/>
    </row>
    <row r="388" spans="1:2" x14ac:dyDescent="0.25">
      <c r="A388" s="73"/>
      <c r="B388" s="73"/>
    </row>
    <row r="389" spans="1:2" x14ac:dyDescent="0.25">
      <c r="A389" s="73"/>
      <c r="B389" s="73"/>
    </row>
    <row r="390" spans="1:2" x14ac:dyDescent="0.25">
      <c r="A390" s="73"/>
      <c r="B390" s="73"/>
    </row>
    <row r="391" spans="1:2" x14ac:dyDescent="0.25">
      <c r="A391" s="73"/>
      <c r="B391" s="73"/>
    </row>
    <row r="392" spans="1:2" x14ac:dyDescent="0.25">
      <c r="A392" s="73"/>
      <c r="B392" s="73"/>
    </row>
    <row r="393" spans="1:2" x14ac:dyDescent="0.25">
      <c r="A393" s="73"/>
      <c r="B393" s="73"/>
    </row>
    <row r="394" spans="1:2" x14ac:dyDescent="0.25">
      <c r="A394" s="73"/>
      <c r="B394" s="73"/>
    </row>
    <row r="395" spans="1:2" x14ac:dyDescent="0.25">
      <c r="A395" s="73"/>
      <c r="B395" s="73"/>
    </row>
    <row r="396" spans="1:2" x14ac:dyDescent="0.25">
      <c r="A396" s="73"/>
      <c r="B396" s="73"/>
    </row>
    <row r="397" spans="1:2" x14ac:dyDescent="0.25">
      <c r="A397" s="73"/>
      <c r="B397" s="73"/>
    </row>
    <row r="398" spans="1:2" x14ac:dyDescent="0.25">
      <c r="A398" s="73"/>
      <c r="B398" s="73"/>
    </row>
    <row r="399" spans="1:2" x14ac:dyDescent="0.25">
      <c r="A399" s="73"/>
      <c r="B399" s="73"/>
    </row>
    <row r="400" spans="1:2" x14ac:dyDescent="0.25">
      <c r="A400" s="73"/>
      <c r="B400" s="73"/>
    </row>
    <row r="401" spans="1:2" x14ac:dyDescent="0.25">
      <c r="A401" s="73"/>
      <c r="B401" s="73"/>
    </row>
    <row r="402" spans="1:2" x14ac:dyDescent="0.25">
      <c r="A402" s="73"/>
      <c r="B402" s="73"/>
    </row>
    <row r="403" spans="1:2" x14ac:dyDescent="0.25">
      <c r="A403" s="73"/>
      <c r="B403" s="73"/>
    </row>
    <row r="404" spans="1:2" x14ac:dyDescent="0.25">
      <c r="A404" s="73"/>
      <c r="B404" s="73"/>
    </row>
    <row r="405" spans="1:2" x14ac:dyDescent="0.25">
      <c r="A405" s="73"/>
      <c r="B405" s="73"/>
    </row>
    <row r="406" spans="1:2" x14ac:dyDescent="0.25">
      <c r="A406" s="73"/>
      <c r="B406" s="73"/>
    </row>
    <row r="407" spans="1:2" x14ac:dyDescent="0.25">
      <c r="A407" s="73"/>
      <c r="B407" s="73"/>
    </row>
    <row r="408" spans="1:2" x14ac:dyDescent="0.25">
      <c r="A408" s="73"/>
      <c r="B408" s="73"/>
    </row>
    <row r="409" spans="1:2" x14ac:dyDescent="0.25">
      <c r="A409" s="73"/>
      <c r="B409" s="73"/>
    </row>
    <row r="410" spans="1:2" x14ac:dyDescent="0.25">
      <c r="A410" s="73"/>
      <c r="B410" s="73"/>
    </row>
    <row r="411" spans="1:2" x14ac:dyDescent="0.25">
      <c r="A411" s="73"/>
      <c r="B411" s="73"/>
    </row>
    <row r="412" spans="1:2" x14ac:dyDescent="0.25">
      <c r="A412" s="73"/>
      <c r="B412" s="73"/>
    </row>
    <row r="413" spans="1:2" x14ac:dyDescent="0.25">
      <c r="A413" s="73"/>
      <c r="B413" s="73"/>
    </row>
    <row r="414" spans="1:2" x14ac:dyDescent="0.25">
      <c r="A414" s="73"/>
      <c r="B414" s="73"/>
    </row>
    <row r="415" spans="1:2" x14ac:dyDescent="0.25">
      <c r="A415" s="73"/>
      <c r="B415" s="73"/>
    </row>
    <row r="416" spans="1:2" x14ac:dyDescent="0.25">
      <c r="A416" s="73"/>
      <c r="B416" s="73"/>
    </row>
    <row r="417" spans="1:2" x14ac:dyDescent="0.25">
      <c r="A417" s="73"/>
      <c r="B417" s="73"/>
    </row>
    <row r="418" spans="1:2" x14ac:dyDescent="0.25">
      <c r="A418" s="73"/>
      <c r="B418" s="73"/>
    </row>
    <row r="419" spans="1:2" x14ac:dyDescent="0.25">
      <c r="A419" s="73"/>
      <c r="B419" s="73"/>
    </row>
    <row r="420" spans="1:2" x14ac:dyDescent="0.25">
      <c r="A420" s="73"/>
      <c r="B420" s="73"/>
    </row>
    <row r="421" spans="1:2" x14ac:dyDescent="0.25">
      <c r="A421" s="73"/>
      <c r="B421" s="73"/>
    </row>
    <row r="422" spans="1:2" x14ac:dyDescent="0.25">
      <c r="A422" s="73"/>
      <c r="B422" s="73"/>
    </row>
    <row r="423" spans="1:2" x14ac:dyDescent="0.25">
      <c r="A423" s="73"/>
      <c r="B423" s="73"/>
    </row>
    <row r="424" spans="1:2" x14ac:dyDescent="0.25">
      <c r="A424" s="73"/>
      <c r="B424" s="73"/>
    </row>
    <row r="425" spans="1:2" x14ac:dyDescent="0.25">
      <c r="A425" s="73"/>
      <c r="B425" s="73"/>
    </row>
    <row r="426" spans="1:2" x14ac:dyDescent="0.25">
      <c r="A426" s="73"/>
      <c r="B426" s="73"/>
    </row>
    <row r="427" spans="1:2" x14ac:dyDescent="0.25">
      <c r="A427" s="73"/>
      <c r="B427" s="73"/>
    </row>
    <row r="428" spans="1:2" x14ac:dyDescent="0.25">
      <c r="A428" s="73"/>
      <c r="B428" s="73"/>
    </row>
    <row r="429" spans="1:2" x14ac:dyDescent="0.25">
      <c r="A429" s="73"/>
      <c r="B429" s="73"/>
    </row>
    <row r="430" spans="1:2" x14ac:dyDescent="0.25">
      <c r="A430" s="73"/>
      <c r="B430" s="73"/>
    </row>
    <row r="431" spans="1:2" x14ac:dyDescent="0.25">
      <c r="A431" s="73"/>
      <c r="B431" s="73"/>
    </row>
    <row r="432" spans="1:2" x14ac:dyDescent="0.25">
      <c r="A432" s="73"/>
      <c r="B432" s="73"/>
    </row>
    <row r="433" spans="1:2" x14ac:dyDescent="0.25">
      <c r="A433" s="73"/>
      <c r="B433" s="73"/>
    </row>
    <row r="434" spans="1:2" x14ac:dyDescent="0.25">
      <c r="A434" s="73"/>
      <c r="B434" s="73"/>
    </row>
    <row r="435" spans="1:2" x14ac:dyDescent="0.25">
      <c r="A435" s="73"/>
      <c r="B435" s="73"/>
    </row>
    <row r="436" spans="1:2" x14ac:dyDescent="0.25">
      <c r="A436" s="73"/>
      <c r="B436" s="73"/>
    </row>
    <row r="437" spans="1:2" x14ac:dyDescent="0.25">
      <c r="A437" s="73"/>
      <c r="B437" s="73"/>
    </row>
    <row r="438" spans="1:2" x14ac:dyDescent="0.25">
      <c r="A438" s="73"/>
      <c r="B438" s="73"/>
    </row>
    <row r="439" spans="1:2" x14ac:dyDescent="0.25">
      <c r="A439" s="73"/>
      <c r="B439" s="73"/>
    </row>
    <row r="440" spans="1:2" x14ac:dyDescent="0.25">
      <c r="A440" s="73"/>
      <c r="B440" s="73"/>
    </row>
    <row r="441" spans="1:2" x14ac:dyDescent="0.25">
      <c r="A441" s="73"/>
      <c r="B441" s="73"/>
    </row>
    <row r="442" spans="1:2" x14ac:dyDescent="0.25">
      <c r="A442" s="73"/>
      <c r="B442" s="73"/>
    </row>
    <row r="443" spans="1:2" x14ac:dyDescent="0.25">
      <c r="A443" s="73"/>
      <c r="B443" s="73"/>
    </row>
    <row r="444" spans="1:2" x14ac:dyDescent="0.25">
      <c r="A444" s="73"/>
      <c r="B444" s="73"/>
    </row>
    <row r="445" spans="1:2" x14ac:dyDescent="0.25">
      <c r="A445" s="73"/>
      <c r="B445" s="73"/>
    </row>
    <row r="446" spans="1:2" x14ac:dyDescent="0.25">
      <c r="A446" s="73"/>
      <c r="B446" s="73"/>
    </row>
    <row r="447" spans="1:2" x14ac:dyDescent="0.25">
      <c r="A447" s="73"/>
      <c r="B447" s="73"/>
    </row>
    <row r="448" spans="1:2" x14ac:dyDescent="0.25">
      <c r="A448" s="73"/>
      <c r="B448" s="73"/>
    </row>
    <row r="449" spans="1:2" x14ac:dyDescent="0.25">
      <c r="A449" s="73"/>
      <c r="B449" s="73"/>
    </row>
    <row r="450" spans="1:2" x14ac:dyDescent="0.25">
      <c r="A450" s="73"/>
      <c r="B450" s="73"/>
    </row>
    <row r="451" spans="1:2" x14ac:dyDescent="0.25">
      <c r="A451" s="73"/>
      <c r="B451" s="73"/>
    </row>
    <row r="452" spans="1:2" x14ac:dyDescent="0.25">
      <c r="A452" s="73"/>
      <c r="B452" s="73"/>
    </row>
    <row r="453" spans="1:2" x14ac:dyDescent="0.25">
      <c r="A453" s="73"/>
      <c r="B453" s="73"/>
    </row>
    <row r="454" spans="1:2" x14ac:dyDescent="0.25">
      <c r="A454" s="73"/>
      <c r="B454" s="73"/>
    </row>
    <row r="455" spans="1:2" x14ac:dyDescent="0.25">
      <c r="A455" s="73"/>
      <c r="B455" s="73"/>
    </row>
    <row r="456" spans="1:2" x14ac:dyDescent="0.25">
      <c r="A456" s="73"/>
      <c r="B456" s="73"/>
    </row>
    <row r="457" spans="1:2" x14ac:dyDescent="0.25">
      <c r="A457" s="73"/>
      <c r="B457" s="73"/>
    </row>
    <row r="458" spans="1:2" x14ac:dyDescent="0.25">
      <c r="A458" s="73"/>
      <c r="B458" s="73"/>
    </row>
    <row r="459" spans="1:2" x14ac:dyDescent="0.25">
      <c r="A459" s="73"/>
      <c r="B459" s="73"/>
    </row>
    <row r="460" spans="1:2" x14ac:dyDescent="0.25">
      <c r="A460" s="73"/>
      <c r="B460" s="73"/>
    </row>
    <row r="461" spans="1:2" x14ac:dyDescent="0.25">
      <c r="A461" s="73"/>
      <c r="B461" s="73"/>
    </row>
    <row r="462" spans="1:2" x14ac:dyDescent="0.25">
      <c r="A462" s="73"/>
      <c r="B462" s="73"/>
    </row>
    <row r="463" spans="1:2" x14ac:dyDescent="0.25">
      <c r="A463" s="73"/>
      <c r="B463" s="73"/>
    </row>
    <row r="464" spans="1:2" x14ac:dyDescent="0.25">
      <c r="A464" s="73"/>
      <c r="B464" s="73"/>
    </row>
    <row r="465" spans="1:2" x14ac:dyDescent="0.25">
      <c r="A465" s="73"/>
      <c r="B465" s="73"/>
    </row>
    <row r="466" spans="1:2" x14ac:dyDescent="0.25">
      <c r="A466" s="73"/>
      <c r="B466" s="73"/>
    </row>
    <row r="467" spans="1:2" x14ac:dyDescent="0.25">
      <c r="A467" s="73"/>
      <c r="B467" s="73"/>
    </row>
    <row r="468" spans="1:2" x14ac:dyDescent="0.25">
      <c r="A468" s="73"/>
      <c r="B468" s="73"/>
    </row>
    <row r="469" spans="1:2" x14ac:dyDescent="0.25">
      <c r="A469" s="73"/>
      <c r="B469" s="73"/>
    </row>
    <row r="470" spans="1:2" x14ac:dyDescent="0.25">
      <c r="A470" s="73"/>
      <c r="B470" s="73"/>
    </row>
    <row r="471" spans="1:2" x14ac:dyDescent="0.25">
      <c r="A471" s="73"/>
      <c r="B471" s="73"/>
    </row>
    <row r="472" spans="1:2" x14ac:dyDescent="0.25">
      <c r="A472" s="73"/>
      <c r="B472" s="73"/>
    </row>
    <row r="473" spans="1:2" x14ac:dyDescent="0.25">
      <c r="A473" s="73"/>
      <c r="B473" s="73"/>
    </row>
    <row r="474" spans="1:2" x14ac:dyDescent="0.25">
      <c r="A474" s="73"/>
      <c r="B474" s="73"/>
    </row>
    <row r="475" spans="1:2" x14ac:dyDescent="0.25">
      <c r="A475" s="73"/>
      <c r="B475" s="73"/>
    </row>
    <row r="476" spans="1:2" x14ac:dyDescent="0.25">
      <c r="A476" s="73"/>
      <c r="B476" s="73"/>
    </row>
    <row r="477" spans="1:2" x14ac:dyDescent="0.25">
      <c r="A477" s="73"/>
      <c r="B477" s="73"/>
    </row>
    <row r="478" spans="1:2" x14ac:dyDescent="0.25">
      <c r="A478" s="73"/>
      <c r="B478" s="73"/>
    </row>
    <row r="479" spans="1:2" x14ac:dyDescent="0.25">
      <c r="A479" s="73"/>
      <c r="B479" s="73"/>
    </row>
    <row r="480" spans="1:2" x14ac:dyDescent="0.25">
      <c r="A480" s="73"/>
      <c r="B480" s="73"/>
    </row>
    <row r="481" spans="1:2" x14ac:dyDescent="0.25">
      <c r="A481" s="73"/>
      <c r="B481" s="73"/>
    </row>
    <row r="482" spans="1:2" x14ac:dyDescent="0.25">
      <c r="A482" s="73"/>
      <c r="B482" s="73"/>
    </row>
    <row r="483" spans="1:2" x14ac:dyDescent="0.25">
      <c r="A483" s="73"/>
      <c r="B483" s="73"/>
    </row>
    <row r="484" spans="1:2" x14ac:dyDescent="0.25">
      <c r="A484" s="73"/>
      <c r="B484" s="73"/>
    </row>
    <row r="485" spans="1:2" x14ac:dyDescent="0.25">
      <c r="A485" s="73"/>
      <c r="B485" s="73"/>
    </row>
    <row r="486" spans="1:2" x14ac:dyDescent="0.25">
      <c r="A486" s="73"/>
      <c r="B486" s="73"/>
    </row>
    <row r="487" spans="1:2" x14ac:dyDescent="0.25">
      <c r="A487" s="73"/>
      <c r="B487" s="73"/>
    </row>
    <row r="488" spans="1:2" x14ac:dyDescent="0.25">
      <c r="A488" s="73"/>
      <c r="B488" s="73"/>
    </row>
    <row r="489" spans="1:2" x14ac:dyDescent="0.25">
      <c r="A489" s="73"/>
      <c r="B489" s="73"/>
    </row>
    <row r="490" spans="1:2" x14ac:dyDescent="0.25">
      <c r="A490" s="73"/>
      <c r="B490" s="73"/>
    </row>
    <row r="491" spans="1:2" x14ac:dyDescent="0.25">
      <c r="A491" s="73"/>
      <c r="B491" s="73"/>
    </row>
    <row r="492" spans="1:2" x14ac:dyDescent="0.25">
      <c r="A492" s="73"/>
      <c r="B492" s="73"/>
    </row>
    <row r="493" spans="1:2" x14ac:dyDescent="0.25">
      <c r="A493" s="73"/>
      <c r="B493" s="73"/>
    </row>
    <row r="494" spans="1:2" x14ac:dyDescent="0.25">
      <c r="A494" s="73"/>
      <c r="B494" s="73"/>
    </row>
    <row r="495" spans="1:2" x14ac:dyDescent="0.25">
      <c r="A495" s="73"/>
      <c r="B495" s="73"/>
    </row>
    <row r="496" spans="1:2" x14ac:dyDescent="0.25">
      <c r="A496" s="73"/>
      <c r="B496" s="73"/>
    </row>
    <row r="497" spans="1:2" x14ac:dyDescent="0.25">
      <c r="A497" s="73"/>
      <c r="B497" s="73"/>
    </row>
    <row r="498" spans="1:2" x14ac:dyDescent="0.25">
      <c r="A498" s="73"/>
      <c r="B498" s="73"/>
    </row>
    <row r="499" spans="1:2" x14ac:dyDescent="0.25">
      <c r="A499" s="73"/>
      <c r="B499" s="73"/>
    </row>
    <row r="500" spans="1:2" x14ac:dyDescent="0.25">
      <c r="A500" s="73"/>
      <c r="B500" s="73"/>
    </row>
    <row r="501" spans="1:2" x14ac:dyDescent="0.25">
      <c r="A501" s="73"/>
      <c r="B501" s="73"/>
    </row>
    <row r="502" spans="1:2" x14ac:dyDescent="0.25">
      <c r="A502" s="73"/>
      <c r="B502" s="73"/>
    </row>
    <row r="503" spans="1:2" x14ac:dyDescent="0.25">
      <c r="A503" s="73"/>
      <c r="B503" s="73"/>
    </row>
    <row r="504" spans="1:2" x14ac:dyDescent="0.25">
      <c r="A504" s="73"/>
      <c r="B504" s="73"/>
    </row>
    <row r="505" spans="1:2" x14ac:dyDescent="0.25">
      <c r="A505" s="73"/>
      <c r="B505" s="73"/>
    </row>
    <row r="506" spans="1:2" x14ac:dyDescent="0.25">
      <c r="A506" s="73"/>
      <c r="B506" s="73"/>
    </row>
    <row r="507" spans="1:2" x14ac:dyDescent="0.25">
      <c r="A507" s="73"/>
      <c r="B507" s="73"/>
    </row>
    <row r="508" spans="1:2" x14ac:dyDescent="0.25">
      <c r="A508" s="73"/>
      <c r="B508" s="73"/>
    </row>
    <row r="509" spans="1:2" x14ac:dyDescent="0.25">
      <c r="A509" s="73"/>
      <c r="B509" s="73"/>
    </row>
    <row r="510" spans="1:2" x14ac:dyDescent="0.25">
      <c r="A510" s="73"/>
      <c r="B510" s="73"/>
    </row>
    <row r="511" spans="1:2" x14ac:dyDescent="0.25">
      <c r="A511" s="73"/>
      <c r="B511" s="73"/>
    </row>
    <row r="512" spans="1:2" x14ac:dyDescent="0.25">
      <c r="A512" s="73"/>
      <c r="B512" s="73"/>
    </row>
    <row r="513" spans="1:2" x14ac:dyDescent="0.25">
      <c r="A513" s="73"/>
      <c r="B513" s="73"/>
    </row>
    <row r="514" spans="1:2" x14ac:dyDescent="0.25">
      <c r="A514" s="73"/>
      <c r="B514" s="73"/>
    </row>
    <row r="515" spans="1:2" x14ac:dyDescent="0.25">
      <c r="A515" s="73"/>
      <c r="B515" s="73"/>
    </row>
    <row r="516" spans="1:2" x14ac:dyDescent="0.25">
      <c r="A516" s="73"/>
      <c r="B516" s="73"/>
    </row>
    <row r="517" spans="1:2" x14ac:dyDescent="0.25">
      <c r="A517" s="73"/>
      <c r="B517" s="73"/>
    </row>
    <row r="518" spans="1:2" x14ac:dyDescent="0.25">
      <c r="A518" s="73"/>
      <c r="B518" s="73"/>
    </row>
    <row r="519" spans="1:2" x14ac:dyDescent="0.25">
      <c r="A519" s="73"/>
      <c r="B519" s="73"/>
    </row>
    <row r="520" spans="1:2" x14ac:dyDescent="0.25">
      <c r="A520" s="73"/>
      <c r="B520" s="73"/>
    </row>
    <row r="521" spans="1:2" x14ac:dyDescent="0.25">
      <c r="A521" s="73"/>
      <c r="B521" s="73"/>
    </row>
    <row r="522" spans="1:2" x14ac:dyDescent="0.25">
      <c r="A522" s="73"/>
      <c r="B522" s="73"/>
    </row>
    <row r="523" spans="1:2" x14ac:dyDescent="0.25">
      <c r="A523" s="73"/>
      <c r="B523" s="73"/>
    </row>
    <row r="524" spans="1:2" x14ac:dyDescent="0.25">
      <c r="A524" s="73"/>
      <c r="B524" s="73"/>
    </row>
    <row r="525" spans="1:2" x14ac:dyDescent="0.25">
      <c r="A525" s="73"/>
      <c r="B525" s="73"/>
    </row>
    <row r="526" spans="1:2" x14ac:dyDescent="0.25">
      <c r="A526" s="73"/>
      <c r="B526" s="73"/>
    </row>
    <row r="527" spans="1:2" x14ac:dyDescent="0.25">
      <c r="A527" s="73"/>
      <c r="B527" s="73"/>
    </row>
    <row r="528" spans="1:2" x14ac:dyDescent="0.25">
      <c r="A528" s="73"/>
      <c r="B528" s="73"/>
    </row>
    <row r="529" spans="1:2" x14ac:dyDescent="0.25">
      <c r="A529" s="73"/>
      <c r="B529" s="73"/>
    </row>
    <row r="530" spans="1:2" x14ac:dyDescent="0.25">
      <c r="A530" s="73"/>
      <c r="B530" s="73"/>
    </row>
    <row r="531" spans="1:2" x14ac:dyDescent="0.25">
      <c r="A531" s="73"/>
      <c r="B531" s="73"/>
    </row>
    <row r="532" spans="1:2" x14ac:dyDescent="0.25">
      <c r="A532" s="73"/>
      <c r="B532" s="73"/>
    </row>
    <row r="533" spans="1:2" x14ac:dyDescent="0.25">
      <c r="A533" s="73"/>
      <c r="B533" s="73"/>
    </row>
    <row r="534" spans="1:2" x14ac:dyDescent="0.25">
      <c r="A534" s="73"/>
      <c r="B534" s="73"/>
    </row>
    <row r="535" spans="1:2" x14ac:dyDescent="0.25">
      <c r="A535" s="73"/>
      <c r="B535" s="73"/>
    </row>
    <row r="536" spans="1:2" x14ac:dyDescent="0.25">
      <c r="A536" s="73"/>
      <c r="B536" s="73"/>
    </row>
    <row r="537" spans="1:2" x14ac:dyDescent="0.25">
      <c r="A537" s="73"/>
      <c r="B537" s="73"/>
    </row>
    <row r="538" spans="1:2" x14ac:dyDescent="0.25">
      <c r="A538" s="73"/>
      <c r="B538" s="73"/>
    </row>
    <row r="539" spans="1:2" x14ac:dyDescent="0.25">
      <c r="A539" s="73"/>
      <c r="B539" s="73"/>
    </row>
    <row r="540" spans="1:2" x14ac:dyDescent="0.25">
      <c r="A540" s="73"/>
      <c r="B540" s="73"/>
    </row>
    <row r="541" spans="1:2" x14ac:dyDescent="0.25">
      <c r="A541" s="73"/>
      <c r="B541" s="73"/>
    </row>
    <row r="542" spans="1:2" x14ac:dyDescent="0.25">
      <c r="A542" s="73"/>
      <c r="B542" s="73"/>
    </row>
    <row r="543" spans="1:2" x14ac:dyDescent="0.25">
      <c r="A543" s="73"/>
      <c r="B543" s="73"/>
    </row>
    <row r="544" spans="1:2" x14ac:dyDescent="0.25">
      <c r="A544" s="73"/>
      <c r="B544" s="73"/>
    </row>
    <row r="545" spans="1:2" x14ac:dyDescent="0.25">
      <c r="A545" s="73"/>
      <c r="B545" s="73"/>
    </row>
    <row r="546" spans="1:2" x14ac:dyDescent="0.25">
      <c r="A546" s="73"/>
      <c r="B546" s="73"/>
    </row>
    <row r="547" spans="1:2" x14ac:dyDescent="0.25">
      <c r="A547" s="73"/>
      <c r="B547" s="73"/>
    </row>
    <row r="548" spans="1:2" x14ac:dyDescent="0.25">
      <c r="A548" s="73"/>
      <c r="B548" s="73"/>
    </row>
    <row r="549" spans="1:2" x14ac:dyDescent="0.25">
      <c r="A549" s="73"/>
      <c r="B549" s="73"/>
    </row>
    <row r="550" spans="1:2" x14ac:dyDescent="0.25">
      <c r="A550" s="73"/>
      <c r="B550" s="73"/>
    </row>
    <row r="551" spans="1:2" x14ac:dyDescent="0.25">
      <c r="A551" s="73"/>
      <c r="B551" s="73"/>
    </row>
    <row r="552" spans="1:2" x14ac:dyDescent="0.25">
      <c r="A552" s="73"/>
      <c r="B552" s="73"/>
    </row>
    <row r="553" spans="1:2" x14ac:dyDescent="0.25">
      <c r="A553" s="73"/>
      <c r="B553" s="73"/>
    </row>
    <row r="554" spans="1:2" x14ac:dyDescent="0.25">
      <c r="A554" s="73"/>
      <c r="B554" s="73"/>
    </row>
    <row r="555" spans="1:2" x14ac:dyDescent="0.25">
      <c r="A555" s="73"/>
      <c r="B555" s="73"/>
    </row>
    <row r="556" spans="1:2" x14ac:dyDescent="0.25">
      <c r="A556" s="73"/>
      <c r="B556" s="73"/>
    </row>
    <row r="557" spans="1:2" x14ac:dyDescent="0.25">
      <c r="A557" s="73"/>
      <c r="B557" s="73"/>
    </row>
    <row r="558" spans="1:2" x14ac:dyDescent="0.25">
      <c r="A558" s="73"/>
      <c r="B558" s="73"/>
    </row>
    <row r="559" spans="1:2" x14ac:dyDescent="0.25">
      <c r="A559" s="73"/>
      <c r="B559" s="73"/>
    </row>
    <row r="560" spans="1:2" x14ac:dyDescent="0.25">
      <c r="A560" s="73"/>
      <c r="B560" s="73"/>
    </row>
    <row r="561" spans="1:2" x14ac:dyDescent="0.25">
      <c r="A561" s="73"/>
      <c r="B561" s="73"/>
    </row>
    <row r="562" spans="1:2" x14ac:dyDescent="0.25">
      <c r="A562" s="73"/>
      <c r="B562" s="73"/>
    </row>
    <row r="563" spans="1:2" x14ac:dyDescent="0.25">
      <c r="A563" s="73"/>
      <c r="B563" s="73"/>
    </row>
    <row r="564" spans="1:2" x14ac:dyDescent="0.25">
      <c r="A564" s="73"/>
      <c r="B564" s="73"/>
    </row>
    <row r="565" spans="1:2" x14ac:dyDescent="0.25">
      <c r="A565" s="73"/>
      <c r="B565" s="73"/>
    </row>
    <row r="566" spans="1:2" x14ac:dyDescent="0.25">
      <c r="A566" s="73"/>
      <c r="B566" s="73"/>
    </row>
    <row r="567" spans="1:2" x14ac:dyDescent="0.25">
      <c r="A567" s="73"/>
      <c r="B567" s="73"/>
    </row>
    <row r="568" spans="1:2" x14ac:dyDescent="0.25">
      <c r="A568" s="73"/>
      <c r="B568" s="73"/>
    </row>
    <row r="569" spans="1:2" x14ac:dyDescent="0.25">
      <c r="A569" s="73"/>
      <c r="B569" s="73"/>
    </row>
    <row r="570" spans="1:2" x14ac:dyDescent="0.25">
      <c r="A570" s="73"/>
      <c r="B570" s="73"/>
    </row>
    <row r="571" spans="1:2" x14ac:dyDescent="0.25">
      <c r="A571" s="73"/>
      <c r="B571" s="73"/>
    </row>
    <row r="572" spans="1:2" x14ac:dyDescent="0.25">
      <c r="A572" s="73"/>
      <c r="B572" s="73"/>
    </row>
    <row r="573" spans="1:2" x14ac:dyDescent="0.25">
      <c r="A573" s="73"/>
      <c r="B573" s="73"/>
    </row>
    <row r="574" spans="1:2" x14ac:dyDescent="0.25">
      <c r="A574" s="73"/>
      <c r="B574" s="73"/>
    </row>
    <row r="575" spans="1:2" x14ac:dyDescent="0.25">
      <c r="A575" s="73"/>
      <c r="B575" s="73"/>
    </row>
    <row r="576" spans="1:2" x14ac:dyDescent="0.25">
      <c r="A576" s="73"/>
      <c r="B576" s="73"/>
    </row>
    <row r="577" spans="1:2" x14ac:dyDescent="0.25">
      <c r="A577" s="73"/>
      <c r="B577" s="73"/>
    </row>
    <row r="578" spans="1:2" x14ac:dyDescent="0.25">
      <c r="A578" s="73"/>
      <c r="B578" s="73"/>
    </row>
    <row r="579" spans="1:2" x14ac:dyDescent="0.25">
      <c r="A579" s="73"/>
      <c r="B579" s="73"/>
    </row>
    <row r="580" spans="1:2" x14ac:dyDescent="0.25">
      <c r="A580" s="73"/>
      <c r="B580" s="73"/>
    </row>
    <row r="581" spans="1:2" x14ac:dyDescent="0.25">
      <c r="A581" s="73"/>
      <c r="B581" s="73"/>
    </row>
    <row r="582" spans="1:2" x14ac:dyDescent="0.25">
      <c r="A582" s="73"/>
      <c r="B582" s="73"/>
    </row>
    <row r="583" spans="1:2" x14ac:dyDescent="0.25">
      <c r="A583" s="73"/>
      <c r="B583" s="73"/>
    </row>
    <row r="584" spans="1:2" x14ac:dyDescent="0.25">
      <c r="A584" s="73"/>
      <c r="B584" s="73"/>
    </row>
    <row r="585" spans="1:2" x14ac:dyDescent="0.25">
      <c r="A585" s="73"/>
      <c r="B585" s="73"/>
    </row>
    <row r="586" spans="1:2" x14ac:dyDescent="0.25">
      <c r="A586" s="73"/>
      <c r="B586" s="73"/>
    </row>
    <row r="587" spans="1:2" x14ac:dyDescent="0.25">
      <c r="A587" s="73"/>
      <c r="B587" s="73"/>
    </row>
    <row r="588" spans="1:2" x14ac:dyDescent="0.25">
      <c r="A588" s="73"/>
      <c r="B588" s="73"/>
    </row>
    <row r="589" spans="1:2" x14ac:dyDescent="0.25">
      <c r="A589" s="73"/>
      <c r="B589" s="73"/>
    </row>
    <row r="590" spans="1:2" x14ac:dyDescent="0.25">
      <c r="A590" s="73"/>
      <c r="B590" s="73"/>
    </row>
    <row r="591" spans="1:2" x14ac:dyDescent="0.25">
      <c r="A591" s="73"/>
      <c r="B591" s="73"/>
    </row>
    <row r="592" spans="1:2" x14ac:dyDescent="0.25">
      <c r="A592" s="73"/>
      <c r="B592" s="73"/>
    </row>
    <row r="593" spans="1:2" x14ac:dyDescent="0.25">
      <c r="A593" s="73"/>
      <c r="B593" s="73"/>
    </row>
    <row r="594" spans="1:2" x14ac:dyDescent="0.25">
      <c r="A594" s="73"/>
      <c r="B594" s="73"/>
    </row>
    <row r="595" spans="1:2" x14ac:dyDescent="0.25">
      <c r="A595" s="73"/>
      <c r="B595" s="73"/>
    </row>
    <row r="596" spans="1:2" x14ac:dyDescent="0.25">
      <c r="A596" s="73"/>
      <c r="B596" s="73"/>
    </row>
    <row r="597" spans="1:2" x14ac:dyDescent="0.25">
      <c r="A597" s="73"/>
      <c r="B597" s="73"/>
    </row>
    <row r="598" spans="1:2" x14ac:dyDescent="0.25">
      <c r="A598" s="73"/>
      <c r="B598" s="73"/>
    </row>
    <row r="599" spans="1:2" x14ac:dyDescent="0.25">
      <c r="A599" s="73"/>
      <c r="B599" s="73"/>
    </row>
    <row r="600" spans="1:2" x14ac:dyDescent="0.25">
      <c r="A600" s="73"/>
      <c r="B600" s="73"/>
    </row>
    <row r="601" spans="1:2" x14ac:dyDescent="0.25">
      <c r="A601" s="73"/>
      <c r="B601" s="73"/>
    </row>
    <row r="602" spans="1:2" x14ac:dyDescent="0.25">
      <c r="A602" s="73"/>
      <c r="B602" s="73"/>
    </row>
    <row r="603" spans="1:2" x14ac:dyDescent="0.25">
      <c r="A603" s="73"/>
      <c r="B603" s="73"/>
    </row>
    <row r="604" spans="1:2" x14ac:dyDescent="0.25">
      <c r="A604" s="73"/>
      <c r="B604" s="73"/>
    </row>
    <row r="605" spans="1:2" x14ac:dyDescent="0.25">
      <c r="A605" s="73"/>
      <c r="B605" s="73"/>
    </row>
    <row r="606" spans="1:2" x14ac:dyDescent="0.25">
      <c r="A606" s="73"/>
      <c r="B606" s="73"/>
    </row>
    <row r="607" spans="1:2" x14ac:dyDescent="0.25">
      <c r="A607" s="73"/>
      <c r="B607" s="73"/>
    </row>
    <row r="608" spans="1:2" x14ac:dyDescent="0.25">
      <c r="A608" s="73"/>
      <c r="B608" s="73"/>
    </row>
    <row r="609" spans="1:2" x14ac:dyDescent="0.25">
      <c r="A609" s="73"/>
      <c r="B609" s="73"/>
    </row>
    <row r="610" spans="1:2" x14ac:dyDescent="0.25">
      <c r="A610" s="73"/>
      <c r="B610" s="73"/>
    </row>
    <row r="611" spans="1:2" x14ac:dyDescent="0.25">
      <c r="A611" s="73"/>
      <c r="B611" s="73"/>
    </row>
    <row r="612" spans="1:2" x14ac:dyDescent="0.25">
      <c r="A612" s="73"/>
      <c r="B612" s="73"/>
    </row>
    <row r="613" spans="1:2" x14ac:dyDescent="0.25">
      <c r="A613" s="73"/>
      <c r="B613" s="73"/>
    </row>
    <row r="614" spans="1:2" x14ac:dyDescent="0.25">
      <c r="A614" s="73"/>
      <c r="B614" s="73"/>
    </row>
    <row r="615" spans="1:2" x14ac:dyDescent="0.25">
      <c r="A615" s="73"/>
      <c r="B615" s="73"/>
    </row>
    <row r="616" spans="1:2" x14ac:dyDescent="0.25">
      <c r="A616" s="73"/>
      <c r="B616" s="73"/>
    </row>
    <row r="617" spans="1:2" x14ac:dyDescent="0.25">
      <c r="A617" s="73"/>
      <c r="B617" s="73"/>
    </row>
    <row r="618" spans="1:2" x14ac:dyDescent="0.25">
      <c r="A618" s="73"/>
      <c r="B618" s="73"/>
    </row>
    <row r="619" spans="1:2" x14ac:dyDescent="0.25">
      <c r="A619" s="73"/>
      <c r="B619" s="73"/>
    </row>
    <row r="620" spans="1:2" x14ac:dyDescent="0.25">
      <c r="A620" s="73"/>
      <c r="B620" s="73"/>
    </row>
    <row r="621" spans="1:2" x14ac:dyDescent="0.25">
      <c r="A621" s="73"/>
      <c r="B621" s="73"/>
    </row>
    <row r="622" spans="1:2" x14ac:dyDescent="0.25">
      <c r="A622" s="73"/>
      <c r="B622" s="73"/>
    </row>
    <row r="623" spans="1:2" x14ac:dyDescent="0.25">
      <c r="A623" s="73"/>
      <c r="B623" s="73"/>
    </row>
    <row r="624" spans="1:2" x14ac:dyDescent="0.25">
      <c r="A624" s="73"/>
      <c r="B624" s="73"/>
    </row>
    <row r="625" spans="1:2" x14ac:dyDescent="0.25">
      <c r="A625" s="73"/>
      <c r="B625" s="73"/>
    </row>
    <row r="626" spans="1:2" x14ac:dyDescent="0.25">
      <c r="A626" s="73"/>
      <c r="B626" s="73"/>
    </row>
    <row r="627" spans="1:2" x14ac:dyDescent="0.25">
      <c r="A627" s="73"/>
      <c r="B627" s="73"/>
    </row>
    <row r="628" spans="1:2" x14ac:dyDescent="0.25">
      <c r="A628" s="73"/>
      <c r="B628" s="73"/>
    </row>
    <row r="629" spans="1:2" x14ac:dyDescent="0.25">
      <c r="A629" s="73"/>
      <c r="B629" s="73"/>
    </row>
    <row r="630" spans="1:2" x14ac:dyDescent="0.25">
      <c r="A630" s="73"/>
      <c r="B630" s="73"/>
    </row>
    <row r="631" spans="1:2" x14ac:dyDescent="0.25">
      <c r="A631" s="73"/>
      <c r="B631" s="73"/>
    </row>
    <row r="632" spans="1:2" x14ac:dyDescent="0.25">
      <c r="A632" s="73"/>
      <c r="B632" s="73"/>
    </row>
    <row r="633" spans="1:2" x14ac:dyDescent="0.25">
      <c r="A633" s="73"/>
      <c r="B633" s="73"/>
    </row>
    <row r="634" spans="1:2" x14ac:dyDescent="0.25">
      <c r="A634" s="73"/>
      <c r="B634" s="73"/>
    </row>
    <row r="635" spans="1:2" x14ac:dyDescent="0.25">
      <c r="A635" s="73"/>
      <c r="B635" s="73"/>
    </row>
    <row r="636" spans="1:2" x14ac:dyDescent="0.25">
      <c r="A636" s="73"/>
      <c r="B636" s="73"/>
    </row>
    <row r="637" spans="1:2" x14ac:dyDescent="0.25">
      <c r="A637" s="73"/>
      <c r="B637" s="73"/>
    </row>
    <row r="638" spans="1:2" x14ac:dyDescent="0.25">
      <c r="A638" s="73"/>
      <c r="B638" s="73"/>
    </row>
    <row r="639" spans="1:2" x14ac:dyDescent="0.25">
      <c r="A639" s="73"/>
      <c r="B639" s="73"/>
    </row>
    <row r="640" spans="1:2" x14ac:dyDescent="0.25">
      <c r="A640" s="73"/>
      <c r="B640" s="73"/>
    </row>
    <row r="641" spans="1:2" x14ac:dyDescent="0.25">
      <c r="A641" s="73"/>
      <c r="B641" s="73"/>
    </row>
    <row r="642" spans="1:2" x14ac:dyDescent="0.25">
      <c r="A642" s="73"/>
      <c r="B642" s="73"/>
    </row>
    <row r="643" spans="1:2" x14ac:dyDescent="0.25">
      <c r="A643" s="73"/>
      <c r="B643" s="73"/>
    </row>
    <row r="644" spans="1:2" x14ac:dyDescent="0.25">
      <c r="A644" s="73"/>
      <c r="B644" s="73"/>
    </row>
    <row r="645" spans="1:2" x14ac:dyDescent="0.25">
      <c r="A645" s="73"/>
      <c r="B645" s="73"/>
    </row>
    <row r="646" spans="1:2" x14ac:dyDescent="0.25">
      <c r="A646" s="73"/>
      <c r="B646" s="73"/>
    </row>
    <row r="647" spans="1:2" x14ac:dyDescent="0.25">
      <c r="A647" s="73"/>
      <c r="B647" s="73"/>
    </row>
    <row r="648" spans="1:2" x14ac:dyDescent="0.25">
      <c r="A648" s="73"/>
      <c r="B648" s="73"/>
    </row>
    <row r="649" spans="1:2" x14ac:dyDescent="0.25">
      <c r="A649" s="73"/>
      <c r="B649" s="73"/>
    </row>
    <row r="650" spans="1:2" x14ac:dyDescent="0.25">
      <c r="A650" s="73"/>
      <c r="B650" s="73"/>
    </row>
    <row r="651" spans="1:2" x14ac:dyDescent="0.25">
      <c r="A651" s="73"/>
      <c r="B651" s="73"/>
    </row>
    <row r="652" spans="1:2" x14ac:dyDescent="0.25">
      <c r="A652" s="73"/>
      <c r="B652" s="73"/>
    </row>
    <row r="653" spans="1:2" x14ac:dyDescent="0.25">
      <c r="A653" s="73"/>
      <c r="B653" s="73"/>
    </row>
    <row r="654" spans="1:2" x14ac:dyDescent="0.25">
      <c r="A654" s="73"/>
      <c r="B654" s="73"/>
    </row>
    <row r="655" spans="1:2" x14ac:dyDescent="0.25">
      <c r="A655" s="73"/>
      <c r="B655" s="73"/>
    </row>
    <row r="656" spans="1:2" x14ac:dyDescent="0.25">
      <c r="A656" s="73"/>
      <c r="B656" s="73"/>
    </row>
    <row r="657" spans="1:2" x14ac:dyDescent="0.25">
      <c r="A657" s="73"/>
      <c r="B657" s="73"/>
    </row>
    <row r="658" spans="1:2" x14ac:dyDescent="0.25">
      <c r="A658" s="73"/>
      <c r="B658" s="73"/>
    </row>
    <row r="659" spans="1:2" x14ac:dyDescent="0.25">
      <c r="A659" s="73"/>
      <c r="B659" s="73"/>
    </row>
    <row r="660" spans="1:2" x14ac:dyDescent="0.25">
      <c r="A660" s="73"/>
      <c r="B660" s="73"/>
    </row>
    <row r="661" spans="1:2" x14ac:dyDescent="0.25">
      <c r="A661" s="73"/>
      <c r="B661" s="73"/>
    </row>
    <row r="662" spans="1:2" x14ac:dyDescent="0.25">
      <c r="A662" s="73"/>
      <c r="B662" s="73"/>
    </row>
    <row r="663" spans="1:2" x14ac:dyDescent="0.25">
      <c r="A663" s="73"/>
      <c r="B663" s="73"/>
    </row>
    <row r="664" spans="1:2" x14ac:dyDescent="0.25">
      <c r="A664" s="73"/>
      <c r="B664" s="73"/>
    </row>
    <row r="665" spans="1:2" x14ac:dyDescent="0.25">
      <c r="A665" s="73"/>
      <c r="B665" s="73"/>
    </row>
    <row r="666" spans="1:2" x14ac:dyDescent="0.25">
      <c r="A666" s="73"/>
      <c r="B666" s="73"/>
    </row>
    <row r="667" spans="1:2" x14ac:dyDescent="0.25">
      <c r="A667" s="73"/>
      <c r="B667" s="73"/>
    </row>
    <row r="668" spans="1:2" x14ac:dyDescent="0.25">
      <c r="A668" s="73"/>
      <c r="B668" s="73"/>
    </row>
    <row r="669" spans="1:2" x14ac:dyDescent="0.25">
      <c r="A669" s="73"/>
      <c r="B669" s="73"/>
    </row>
    <row r="670" spans="1:2" x14ac:dyDescent="0.25">
      <c r="A670" s="73"/>
      <c r="B670" s="73"/>
    </row>
    <row r="671" spans="1:2" x14ac:dyDescent="0.25">
      <c r="A671" s="73"/>
      <c r="B671" s="73"/>
    </row>
    <row r="672" spans="1:2" x14ac:dyDescent="0.25">
      <c r="A672" s="73"/>
      <c r="B672" s="73"/>
    </row>
    <row r="673" spans="1:2" x14ac:dyDescent="0.25">
      <c r="A673" s="73"/>
      <c r="B673" s="73"/>
    </row>
    <row r="674" spans="1:2" x14ac:dyDescent="0.25">
      <c r="A674" s="73"/>
      <c r="B674" s="73"/>
    </row>
    <row r="675" spans="1:2" x14ac:dyDescent="0.25">
      <c r="A675" s="73"/>
      <c r="B675" s="73"/>
    </row>
    <row r="676" spans="1:2" x14ac:dyDescent="0.25">
      <c r="A676" s="73"/>
      <c r="B676" s="73"/>
    </row>
    <row r="677" spans="1:2" x14ac:dyDescent="0.25">
      <c r="A677" s="73"/>
      <c r="B677" s="73"/>
    </row>
    <row r="678" spans="1:2" x14ac:dyDescent="0.25">
      <c r="A678" s="73"/>
      <c r="B678" s="73"/>
    </row>
    <row r="679" spans="1:2" x14ac:dyDescent="0.25">
      <c r="A679" s="73"/>
      <c r="B679" s="73"/>
    </row>
    <row r="680" spans="1:2" x14ac:dyDescent="0.25">
      <c r="A680" s="73"/>
      <c r="B680" s="73"/>
    </row>
    <row r="681" spans="1:2" x14ac:dyDescent="0.25">
      <c r="A681" s="73"/>
      <c r="B681" s="73"/>
    </row>
    <row r="682" spans="1:2" x14ac:dyDescent="0.25">
      <c r="A682" s="73"/>
      <c r="B682" s="73"/>
    </row>
    <row r="683" spans="1:2" x14ac:dyDescent="0.25">
      <c r="A683" s="73"/>
      <c r="B683" s="73"/>
    </row>
    <row r="684" spans="1:2" x14ac:dyDescent="0.25">
      <c r="A684" s="73"/>
      <c r="B684" s="73"/>
    </row>
    <row r="685" spans="1:2" x14ac:dyDescent="0.25">
      <c r="A685" s="73"/>
      <c r="B685" s="73"/>
    </row>
    <row r="686" spans="1:2" x14ac:dyDescent="0.25">
      <c r="A686" s="73"/>
      <c r="B686" s="73"/>
    </row>
    <row r="687" spans="1:2" x14ac:dyDescent="0.25">
      <c r="A687" s="73"/>
      <c r="B687" s="73"/>
    </row>
    <row r="688" spans="1:2" x14ac:dyDescent="0.25">
      <c r="A688" s="73"/>
      <c r="B688" s="73"/>
    </row>
    <row r="689" spans="1:2" x14ac:dyDescent="0.25">
      <c r="A689" s="73"/>
      <c r="B689" s="73"/>
    </row>
    <row r="690" spans="1:2" x14ac:dyDescent="0.25">
      <c r="A690" s="73"/>
      <c r="B690" s="73"/>
    </row>
    <row r="691" spans="1:2" x14ac:dyDescent="0.25">
      <c r="A691" s="73"/>
      <c r="B691" s="73"/>
    </row>
    <row r="692" spans="1:2" x14ac:dyDescent="0.25">
      <c r="A692" s="73"/>
      <c r="B692" s="73"/>
    </row>
    <row r="693" spans="1:2" x14ac:dyDescent="0.25">
      <c r="A693" s="73"/>
      <c r="B693" s="73"/>
    </row>
    <row r="694" spans="1:2" x14ac:dyDescent="0.25">
      <c r="A694" s="73"/>
      <c r="B694" s="73"/>
    </row>
    <row r="695" spans="1:2" x14ac:dyDescent="0.25">
      <c r="A695" s="73"/>
      <c r="B695" s="73"/>
    </row>
    <row r="696" spans="1:2" x14ac:dyDescent="0.25">
      <c r="A696" s="73"/>
      <c r="B696" s="73"/>
    </row>
    <row r="697" spans="1:2" x14ac:dyDescent="0.25">
      <c r="A697" s="73"/>
      <c r="B697" s="73"/>
    </row>
    <row r="698" spans="1:2" x14ac:dyDescent="0.25">
      <c r="A698" s="73"/>
      <c r="B698" s="73"/>
    </row>
    <row r="699" spans="1:2" x14ac:dyDescent="0.25">
      <c r="A699" s="73"/>
      <c r="B699" s="73"/>
    </row>
    <row r="700" spans="1:2" x14ac:dyDescent="0.25">
      <c r="A700" s="73"/>
      <c r="B700" s="73"/>
    </row>
    <row r="701" spans="1:2" x14ac:dyDescent="0.25">
      <c r="A701" s="73"/>
      <c r="B701" s="73"/>
    </row>
    <row r="702" spans="1:2" x14ac:dyDescent="0.25">
      <c r="A702" s="73"/>
      <c r="B702" s="73"/>
    </row>
    <row r="703" spans="1:2" x14ac:dyDescent="0.25">
      <c r="A703" s="73"/>
      <c r="B703" s="73"/>
    </row>
    <row r="704" spans="1:2" x14ac:dyDescent="0.25">
      <c r="A704" s="73"/>
      <c r="B704" s="73"/>
    </row>
    <row r="705" spans="1:2" x14ac:dyDescent="0.25">
      <c r="A705" s="73"/>
      <c r="B705" s="73"/>
    </row>
    <row r="706" spans="1:2" x14ac:dyDescent="0.25">
      <c r="A706" s="73"/>
      <c r="B706" s="73"/>
    </row>
    <row r="707" spans="1:2" x14ac:dyDescent="0.25">
      <c r="A707" s="73"/>
      <c r="B707" s="73"/>
    </row>
    <row r="708" spans="1:2" x14ac:dyDescent="0.25">
      <c r="A708" s="73"/>
      <c r="B708" s="73"/>
    </row>
    <row r="709" spans="1:2" x14ac:dyDescent="0.25">
      <c r="A709" s="73"/>
      <c r="B709" s="73"/>
    </row>
    <row r="710" spans="1:2" x14ac:dyDescent="0.25">
      <c r="A710" s="73"/>
      <c r="B710" s="73"/>
    </row>
    <row r="711" spans="1:2" x14ac:dyDescent="0.25">
      <c r="A711" s="73"/>
      <c r="B711" s="73"/>
    </row>
    <row r="712" spans="1:2" x14ac:dyDescent="0.25">
      <c r="A712" s="73"/>
      <c r="B712" s="73"/>
    </row>
    <row r="713" spans="1:2" x14ac:dyDescent="0.25">
      <c r="A713" s="73"/>
      <c r="B713" s="73"/>
    </row>
    <row r="714" spans="1:2" x14ac:dyDescent="0.25">
      <c r="A714" s="73"/>
      <c r="B714" s="73"/>
    </row>
    <row r="715" spans="1:2" x14ac:dyDescent="0.25">
      <c r="A715" s="73"/>
      <c r="B715" s="73"/>
    </row>
    <row r="716" spans="1:2" x14ac:dyDescent="0.25">
      <c r="A716" s="73"/>
      <c r="B716" s="73"/>
    </row>
    <row r="717" spans="1:2" x14ac:dyDescent="0.25">
      <c r="A717" s="73"/>
      <c r="B717" s="73"/>
    </row>
    <row r="718" spans="1:2" x14ac:dyDescent="0.25">
      <c r="A718" s="73"/>
      <c r="B718" s="73"/>
    </row>
    <row r="719" spans="1:2" x14ac:dyDescent="0.25">
      <c r="A719" s="73"/>
      <c r="B719" s="73"/>
    </row>
    <row r="720" spans="1:2" x14ac:dyDescent="0.25">
      <c r="A720" s="73"/>
      <c r="B720" s="73"/>
    </row>
    <row r="721" spans="1:2" x14ac:dyDescent="0.25">
      <c r="A721" s="73"/>
      <c r="B721" s="73"/>
    </row>
    <row r="722" spans="1:2" x14ac:dyDescent="0.25">
      <c r="A722" s="73"/>
      <c r="B722" s="73"/>
    </row>
    <row r="723" spans="1:2" x14ac:dyDescent="0.25">
      <c r="A723" s="73"/>
      <c r="B723" s="73"/>
    </row>
    <row r="724" spans="1:2" x14ac:dyDescent="0.25">
      <c r="A724" s="73"/>
      <c r="B724" s="73"/>
    </row>
    <row r="725" spans="1:2" x14ac:dyDescent="0.25">
      <c r="A725" s="73"/>
      <c r="B725" s="73"/>
    </row>
    <row r="726" spans="1:2" x14ac:dyDescent="0.25">
      <c r="A726" s="73"/>
      <c r="B726" s="73"/>
    </row>
    <row r="727" spans="1:2" x14ac:dyDescent="0.25">
      <c r="A727" s="73"/>
      <c r="B727" s="73"/>
    </row>
    <row r="728" spans="1:2" x14ac:dyDescent="0.25">
      <c r="A728" s="73"/>
      <c r="B728" s="73"/>
    </row>
    <row r="729" spans="1:2" x14ac:dyDescent="0.25">
      <c r="A729" s="73"/>
      <c r="B729" s="73"/>
    </row>
    <row r="730" spans="1:2" x14ac:dyDescent="0.25">
      <c r="A730" s="73"/>
      <c r="B730" s="73"/>
    </row>
    <row r="731" spans="1:2" x14ac:dyDescent="0.25">
      <c r="A731" s="73"/>
      <c r="B731" s="73"/>
    </row>
    <row r="732" spans="1:2" x14ac:dyDescent="0.25">
      <c r="A732" s="73"/>
      <c r="B732" s="73"/>
    </row>
    <row r="733" spans="1:2" x14ac:dyDescent="0.25">
      <c r="A733" s="73"/>
      <c r="B733" s="73"/>
    </row>
    <row r="734" spans="1:2" x14ac:dyDescent="0.25">
      <c r="A734" s="73"/>
      <c r="B734" s="73"/>
    </row>
    <row r="735" spans="1:2" x14ac:dyDescent="0.25">
      <c r="A735" s="73"/>
      <c r="B735" s="73"/>
    </row>
    <row r="736" spans="1:2" x14ac:dyDescent="0.25">
      <c r="A736" s="73"/>
      <c r="B736" s="73"/>
    </row>
    <row r="737" spans="1:2" x14ac:dyDescent="0.25">
      <c r="A737" s="73"/>
      <c r="B737" s="73"/>
    </row>
    <row r="738" spans="1:2" x14ac:dyDescent="0.25">
      <c r="A738" s="73"/>
      <c r="B738" s="73"/>
    </row>
    <row r="739" spans="1:2" x14ac:dyDescent="0.25">
      <c r="A739" s="73"/>
      <c r="B739" s="73"/>
    </row>
    <row r="740" spans="1:2" x14ac:dyDescent="0.25">
      <c r="A740" s="73"/>
      <c r="B740" s="73"/>
    </row>
    <row r="741" spans="1:2" x14ac:dyDescent="0.25">
      <c r="A741" s="73"/>
      <c r="B741" s="73"/>
    </row>
    <row r="742" spans="1:2" x14ac:dyDescent="0.25">
      <c r="A742" s="73"/>
      <c r="B742" s="73"/>
    </row>
    <row r="743" spans="1:2" x14ac:dyDescent="0.25">
      <c r="A743" s="73"/>
      <c r="B743" s="73"/>
    </row>
    <row r="744" spans="1:2" x14ac:dyDescent="0.25">
      <c r="A744" s="73"/>
      <c r="B744" s="73"/>
    </row>
    <row r="745" spans="1:2" x14ac:dyDescent="0.25">
      <c r="A745" s="73"/>
      <c r="B745" s="73"/>
    </row>
    <row r="746" spans="1:2" x14ac:dyDescent="0.25">
      <c r="A746" s="73"/>
      <c r="B746" s="73"/>
    </row>
    <row r="747" spans="1:2" x14ac:dyDescent="0.25">
      <c r="A747" s="73"/>
      <c r="B747" s="73"/>
    </row>
    <row r="748" spans="1:2" x14ac:dyDescent="0.25">
      <c r="A748" s="73"/>
      <c r="B748" s="73"/>
    </row>
    <row r="749" spans="1:2" x14ac:dyDescent="0.25">
      <c r="A749" s="73"/>
      <c r="B749" s="73"/>
    </row>
    <row r="750" spans="1:2" x14ac:dyDescent="0.25">
      <c r="A750" s="73"/>
      <c r="B750" s="73"/>
    </row>
    <row r="751" spans="1:2" x14ac:dyDescent="0.25">
      <c r="A751" s="73"/>
      <c r="B751" s="73"/>
    </row>
    <row r="752" spans="1:2" x14ac:dyDescent="0.25">
      <c r="A752" s="73"/>
      <c r="B752" s="73"/>
    </row>
    <row r="753" spans="1:2" x14ac:dyDescent="0.25">
      <c r="A753" s="73"/>
      <c r="B753" s="73"/>
    </row>
    <row r="754" spans="1:2" x14ac:dyDescent="0.25">
      <c r="A754" s="73"/>
      <c r="B754" s="73"/>
    </row>
    <row r="755" spans="1:2" x14ac:dyDescent="0.25">
      <c r="A755" s="73"/>
      <c r="B755" s="73"/>
    </row>
    <row r="756" spans="1:2" x14ac:dyDescent="0.25">
      <c r="A756" s="73"/>
      <c r="B756" s="73"/>
    </row>
    <row r="757" spans="1:2" x14ac:dyDescent="0.25">
      <c r="A757" s="73"/>
      <c r="B757" s="73"/>
    </row>
    <row r="758" spans="1:2" x14ac:dyDescent="0.25">
      <c r="A758" s="73"/>
      <c r="B758" s="73"/>
    </row>
    <row r="759" spans="1:2" x14ac:dyDescent="0.25">
      <c r="A759" s="73"/>
      <c r="B759" s="73"/>
    </row>
    <row r="760" spans="1:2" x14ac:dyDescent="0.25">
      <c r="A760" s="73"/>
      <c r="B760" s="73"/>
    </row>
    <row r="761" spans="1:2" x14ac:dyDescent="0.25">
      <c r="A761" s="73"/>
      <c r="B761" s="73"/>
    </row>
    <row r="762" spans="1:2" x14ac:dyDescent="0.25">
      <c r="A762" s="73"/>
      <c r="B762" s="73"/>
    </row>
    <row r="763" spans="1:2" x14ac:dyDescent="0.25">
      <c r="A763" s="73"/>
      <c r="B763" s="73"/>
    </row>
    <row r="764" spans="1:2" x14ac:dyDescent="0.25">
      <c r="A764" s="73"/>
      <c r="B764" s="73"/>
    </row>
    <row r="765" spans="1:2" x14ac:dyDescent="0.25">
      <c r="A765" s="73"/>
      <c r="B765" s="73"/>
    </row>
    <row r="766" spans="1:2" x14ac:dyDescent="0.25">
      <c r="A766" s="73"/>
      <c r="B766" s="73"/>
    </row>
    <row r="767" spans="1:2" x14ac:dyDescent="0.25">
      <c r="A767" s="73"/>
      <c r="B767" s="73"/>
    </row>
    <row r="768" spans="1:2" x14ac:dyDescent="0.25">
      <c r="A768" s="73"/>
      <c r="B768" s="73"/>
    </row>
    <row r="769" spans="1:2" x14ac:dyDescent="0.25">
      <c r="A769" s="73"/>
      <c r="B769" s="73"/>
    </row>
    <row r="770" spans="1:2" x14ac:dyDescent="0.25">
      <c r="A770" s="73"/>
      <c r="B770" s="73"/>
    </row>
    <row r="771" spans="1:2" x14ac:dyDescent="0.25">
      <c r="A771" s="73"/>
      <c r="B771" s="73"/>
    </row>
    <row r="772" spans="1:2" x14ac:dyDescent="0.25">
      <c r="A772" s="73"/>
      <c r="B772" s="73"/>
    </row>
    <row r="773" spans="1:2" x14ac:dyDescent="0.25">
      <c r="A773" s="73"/>
      <c r="B773" s="73"/>
    </row>
    <row r="774" spans="1:2" x14ac:dyDescent="0.25">
      <c r="A774" s="73"/>
      <c r="B774" s="73"/>
    </row>
    <row r="775" spans="1:2" x14ac:dyDescent="0.25">
      <c r="A775" s="73"/>
      <c r="B775" s="73"/>
    </row>
    <row r="776" spans="1:2" x14ac:dyDescent="0.25">
      <c r="A776" s="73"/>
      <c r="B776" s="73"/>
    </row>
    <row r="777" spans="1:2" x14ac:dyDescent="0.25">
      <c r="A777" s="73"/>
      <c r="B777" s="73"/>
    </row>
    <row r="778" spans="1:2" x14ac:dyDescent="0.25">
      <c r="A778" s="73"/>
      <c r="B778" s="73"/>
    </row>
    <row r="779" spans="1:2" x14ac:dyDescent="0.25">
      <c r="A779" s="73"/>
      <c r="B779" s="73"/>
    </row>
    <row r="780" spans="1:2" x14ac:dyDescent="0.25">
      <c r="A780" s="73"/>
      <c r="B780" s="73"/>
    </row>
    <row r="781" spans="1:2" x14ac:dyDescent="0.25">
      <c r="A781" s="73"/>
      <c r="B781" s="73"/>
    </row>
    <row r="782" spans="1:2" x14ac:dyDescent="0.25">
      <c r="A782" s="73"/>
      <c r="B782" s="73"/>
    </row>
    <row r="783" spans="1:2" x14ac:dyDescent="0.25">
      <c r="A783" s="73"/>
      <c r="B783" s="73"/>
    </row>
    <row r="784" spans="1:2" x14ac:dyDescent="0.25">
      <c r="A784" s="73"/>
      <c r="B784" s="73"/>
    </row>
    <row r="785" spans="1:2" x14ac:dyDescent="0.25">
      <c r="A785" s="73"/>
      <c r="B785" s="73"/>
    </row>
    <row r="786" spans="1:2" x14ac:dyDescent="0.25">
      <c r="A786" s="73"/>
      <c r="B786" s="73"/>
    </row>
    <row r="787" spans="1:2" x14ac:dyDescent="0.25">
      <c r="A787" s="73"/>
      <c r="B787" s="73"/>
    </row>
    <row r="788" spans="1:2" x14ac:dyDescent="0.25">
      <c r="A788" s="73"/>
      <c r="B788" s="73"/>
    </row>
    <row r="789" spans="1:2" x14ac:dyDescent="0.25">
      <c r="A789" s="73"/>
      <c r="B789" s="73"/>
    </row>
    <row r="790" spans="1:2" x14ac:dyDescent="0.25">
      <c r="A790" s="73"/>
      <c r="B790" s="73"/>
    </row>
    <row r="791" spans="1:2" x14ac:dyDescent="0.25">
      <c r="A791" s="73"/>
      <c r="B791" s="73"/>
    </row>
    <row r="792" spans="1:2" x14ac:dyDescent="0.25">
      <c r="A792" s="73"/>
      <c r="B792" s="73"/>
    </row>
    <row r="793" spans="1:2" x14ac:dyDescent="0.25">
      <c r="A793" s="73"/>
      <c r="B793" s="73"/>
    </row>
    <row r="794" spans="1:2" x14ac:dyDescent="0.25">
      <c r="A794" s="73"/>
      <c r="B794" s="73"/>
    </row>
    <row r="795" spans="1:2" x14ac:dyDescent="0.25">
      <c r="A795" s="73"/>
      <c r="B795" s="73"/>
    </row>
    <row r="796" spans="1:2" x14ac:dyDescent="0.25">
      <c r="A796" s="73"/>
      <c r="B796" s="73"/>
    </row>
    <row r="797" spans="1:2" x14ac:dyDescent="0.25">
      <c r="A797" s="73"/>
      <c r="B797" s="73"/>
    </row>
    <row r="798" spans="1:2" x14ac:dyDescent="0.25">
      <c r="A798" s="73"/>
      <c r="B798" s="73"/>
    </row>
    <row r="799" spans="1:2" x14ac:dyDescent="0.25">
      <c r="A799" s="73"/>
      <c r="B799" s="73"/>
    </row>
    <row r="800" spans="1:2" x14ac:dyDescent="0.25">
      <c r="A800" s="73"/>
      <c r="B800" s="73"/>
    </row>
    <row r="801" spans="1:2" x14ac:dyDescent="0.25">
      <c r="A801" s="73"/>
      <c r="B801" s="73"/>
    </row>
    <row r="802" spans="1:2" x14ac:dyDescent="0.25">
      <c r="A802" s="73"/>
      <c r="B802" s="73"/>
    </row>
    <row r="803" spans="1:2" x14ac:dyDescent="0.25">
      <c r="A803" s="73"/>
      <c r="B803" s="73"/>
    </row>
    <row r="804" spans="1:2" x14ac:dyDescent="0.25">
      <c r="A804" s="73"/>
      <c r="B804" s="73"/>
    </row>
    <row r="805" spans="1:2" x14ac:dyDescent="0.25">
      <c r="A805" s="73"/>
      <c r="B805" s="73"/>
    </row>
    <row r="806" spans="1:2" x14ac:dyDescent="0.25">
      <c r="A806" s="73"/>
      <c r="B806" s="73"/>
    </row>
    <row r="807" spans="1:2" x14ac:dyDescent="0.25">
      <c r="A807" s="73"/>
      <c r="B807" s="73"/>
    </row>
    <row r="808" spans="1:2" x14ac:dyDescent="0.25">
      <c r="A808" s="73"/>
      <c r="B808" s="73"/>
    </row>
    <row r="809" spans="1:2" x14ac:dyDescent="0.25">
      <c r="A809" s="73"/>
      <c r="B809" s="73"/>
    </row>
    <row r="810" spans="1:2" x14ac:dyDescent="0.25">
      <c r="A810" s="73"/>
      <c r="B810" s="73"/>
    </row>
    <row r="811" spans="1:2" x14ac:dyDescent="0.25">
      <c r="A811" s="73"/>
      <c r="B811" s="73"/>
    </row>
    <row r="812" spans="1:2" x14ac:dyDescent="0.25">
      <c r="A812" s="73"/>
      <c r="B812" s="73"/>
    </row>
    <row r="813" spans="1:2" x14ac:dyDescent="0.25">
      <c r="A813" s="73"/>
      <c r="B813" s="73"/>
    </row>
    <row r="814" spans="1:2" x14ac:dyDescent="0.25">
      <c r="A814" s="73"/>
      <c r="B814" s="73"/>
    </row>
    <row r="815" spans="1:2" x14ac:dyDescent="0.25">
      <c r="A815" s="73"/>
      <c r="B815" s="73"/>
    </row>
    <row r="816" spans="1:2" x14ac:dyDescent="0.25">
      <c r="A816" s="73"/>
      <c r="B816" s="73"/>
    </row>
    <row r="817" spans="1:2" x14ac:dyDescent="0.25">
      <c r="A817" s="73"/>
      <c r="B817" s="73"/>
    </row>
    <row r="818" spans="1:2" x14ac:dyDescent="0.25">
      <c r="A818" s="73"/>
      <c r="B818" s="73"/>
    </row>
    <row r="819" spans="1:2" x14ac:dyDescent="0.25">
      <c r="A819" s="73"/>
      <c r="B819" s="73"/>
    </row>
    <row r="820" spans="1:2" x14ac:dyDescent="0.25">
      <c r="A820" s="73"/>
      <c r="B820" s="73"/>
    </row>
    <row r="821" spans="1:2" x14ac:dyDescent="0.25">
      <c r="A821" s="73"/>
      <c r="B821" s="73"/>
    </row>
    <row r="822" spans="1:2" x14ac:dyDescent="0.25">
      <c r="A822" s="73"/>
      <c r="B822" s="73"/>
    </row>
    <row r="823" spans="1:2" x14ac:dyDescent="0.25">
      <c r="A823" s="73"/>
      <c r="B823" s="73"/>
    </row>
    <row r="824" spans="1:2" x14ac:dyDescent="0.25">
      <c r="A824" s="73"/>
      <c r="B824" s="73"/>
    </row>
    <row r="825" spans="1:2" x14ac:dyDescent="0.25">
      <c r="A825" s="73"/>
      <c r="B825" s="73"/>
    </row>
    <row r="826" spans="1:2" x14ac:dyDescent="0.25">
      <c r="A826" s="73"/>
      <c r="B826" s="73"/>
    </row>
    <row r="827" spans="1:2" x14ac:dyDescent="0.25">
      <c r="A827" s="73"/>
      <c r="B827" s="73"/>
    </row>
    <row r="828" spans="1:2" x14ac:dyDescent="0.25">
      <c r="A828" s="73"/>
      <c r="B828" s="73"/>
    </row>
    <row r="829" spans="1:2" x14ac:dyDescent="0.25">
      <c r="A829" s="73"/>
      <c r="B829" s="73"/>
    </row>
    <row r="830" spans="1:2" x14ac:dyDescent="0.25">
      <c r="A830" s="73"/>
      <c r="B830" s="73"/>
    </row>
    <row r="831" spans="1:2" x14ac:dyDescent="0.25">
      <c r="A831" s="73"/>
      <c r="B831" s="73"/>
    </row>
    <row r="832" spans="1:2" x14ac:dyDescent="0.25">
      <c r="A832" s="73"/>
      <c r="B832" s="73"/>
    </row>
    <row r="833" spans="1:2" x14ac:dyDescent="0.25">
      <c r="A833" s="73"/>
      <c r="B833" s="73"/>
    </row>
    <row r="834" spans="1:2" x14ac:dyDescent="0.25">
      <c r="A834" s="73"/>
      <c r="B834" s="73"/>
    </row>
    <row r="835" spans="1:2" x14ac:dyDescent="0.25">
      <c r="A835" s="73"/>
      <c r="B835" s="73"/>
    </row>
    <row r="836" spans="1:2" x14ac:dyDescent="0.25">
      <c r="A836" s="73"/>
      <c r="B836" s="73"/>
    </row>
    <row r="837" spans="1:2" x14ac:dyDescent="0.25">
      <c r="A837" s="73"/>
      <c r="B837" s="73"/>
    </row>
    <row r="838" spans="1:2" x14ac:dyDescent="0.25">
      <c r="A838" s="73"/>
      <c r="B838" s="73"/>
    </row>
    <row r="839" spans="1:2" x14ac:dyDescent="0.25">
      <c r="A839" s="73"/>
      <c r="B839" s="73"/>
    </row>
    <row r="840" spans="1:2" x14ac:dyDescent="0.25">
      <c r="A840" s="73"/>
      <c r="B840" s="73"/>
    </row>
    <row r="841" spans="1:2" x14ac:dyDescent="0.25">
      <c r="A841" s="73"/>
      <c r="B841" s="73"/>
    </row>
    <row r="842" spans="1:2" x14ac:dyDescent="0.25">
      <c r="A842" s="73"/>
      <c r="B842" s="73"/>
    </row>
    <row r="843" spans="1:2" x14ac:dyDescent="0.25">
      <c r="A843" s="73"/>
      <c r="B843" s="73"/>
    </row>
    <row r="844" spans="1:2" x14ac:dyDescent="0.25">
      <c r="A844" s="73"/>
      <c r="B844" s="73"/>
    </row>
    <row r="845" spans="1:2" x14ac:dyDescent="0.25">
      <c r="A845" s="73"/>
      <c r="B845" s="73"/>
    </row>
    <row r="846" spans="1:2" x14ac:dyDescent="0.25">
      <c r="A846" s="73"/>
      <c r="B846" s="73"/>
    </row>
    <row r="847" spans="1:2" x14ac:dyDescent="0.25">
      <c r="A847" s="73"/>
      <c r="B847" s="73"/>
    </row>
    <row r="848" spans="1:2" x14ac:dyDescent="0.25">
      <c r="A848" s="73"/>
      <c r="B848" s="73"/>
    </row>
    <row r="849" spans="1:2" x14ac:dyDescent="0.25">
      <c r="A849" s="73"/>
      <c r="B849" s="73"/>
    </row>
    <row r="850" spans="1:2" x14ac:dyDescent="0.25">
      <c r="A850" s="73"/>
      <c r="B850" s="73"/>
    </row>
    <row r="851" spans="1:2" x14ac:dyDescent="0.25">
      <c r="A851" s="73"/>
      <c r="B851" s="73"/>
    </row>
    <row r="852" spans="1:2" x14ac:dyDescent="0.25">
      <c r="A852" s="73"/>
      <c r="B852" s="73"/>
    </row>
    <row r="853" spans="1:2" x14ac:dyDescent="0.25">
      <c r="A853" s="73"/>
      <c r="B853" s="73"/>
    </row>
    <row r="854" spans="1:2" x14ac:dyDescent="0.25">
      <c r="A854" s="73"/>
      <c r="B854" s="73"/>
    </row>
    <row r="855" spans="1:2" x14ac:dyDescent="0.25">
      <c r="A855" s="73"/>
      <c r="B855" s="73"/>
    </row>
    <row r="856" spans="1:2" x14ac:dyDescent="0.25">
      <c r="A856" s="73"/>
      <c r="B856" s="73"/>
    </row>
    <row r="857" spans="1:2" x14ac:dyDescent="0.25">
      <c r="A857" s="73"/>
      <c r="B857" s="73"/>
    </row>
    <row r="858" spans="1:2" x14ac:dyDescent="0.25">
      <c r="A858" s="73"/>
      <c r="B858" s="73"/>
    </row>
    <row r="859" spans="1:2" x14ac:dyDescent="0.25">
      <c r="A859" s="73"/>
      <c r="B859" s="73"/>
    </row>
    <row r="860" spans="1:2" x14ac:dyDescent="0.25">
      <c r="A860" s="73"/>
      <c r="B860" s="73"/>
    </row>
    <row r="861" spans="1:2" x14ac:dyDescent="0.25">
      <c r="A861" s="73"/>
      <c r="B861" s="73"/>
    </row>
    <row r="862" spans="1:2" x14ac:dyDescent="0.25">
      <c r="A862" s="73"/>
      <c r="B862" s="73"/>
    </row>
    <row r="863" spans="1:2" x14ac:dyDescent="0.25">
      <c r="A863" s="73"/>
      <c r="B863" s="73"/>
    </row>
    <row r="864" spans="1:2" x14ac:dyDescent="0.25">
      <c r="A864" s="73"/>
      <c r="B864" s="73"/>
    </row>
    <row r="865" spans="1:2" x14ac:dyDescent="0.25">
      <c r="A865" s="73"/>
      <c r="B865" s="73"/>
    </row>
    <row r="866" spans="1:2" x14ac:dyDescent="0.25">
      <c r="A866" s="73"/>
      <c r="B866" s="73"/>
    </row>
    <row r="867" spans="1:2" x14ac:dyDescent="0.25">
      <c r="A867" s="73"/>
      <c r="B867" s="73"/>
    </row>
    <row r="868" spans="1:2" x14ac:dyDescent="0.25">
      <c r="A868" s="73"/>
      <c r="B868" s="73"/>
    </row>
    <row r="869" spans="1:2" x14ac:dyDescent="0.25">
      <c r="A869" s="73"/>
      <c r="B869" s="73"/>
    </row>
    <row r="870" spans="1:2" x14ac:dyDescent="0.25">
      <c r="A870" s="73"/>
      <c r="B870" s="73"/>
    </row>
    <row r="871" spans="1:2" x14ac:dyDescent="0.25">
      <c r="A871" s="73"/>
      <c r="B871" s="73"/>
    </row>
    <row r="872" spans="1:2" x14ac:dyDescent="0.25">
      <c r="A872" s="73"/>
      <c r="B872" s="73"/>
    </row>
    <row r="873" spans="1:2" x14ac:dyDescent="0.25">
      <c r="A873" s="73"/>
      <c r="B873" s="73"/>
    </row>
    <row r="874" spans="1:2" x14ac:dyDescent="0.25">
      <c r="A874" s="73"/>
      <c r="B874" s="73"/>
    </row>
    <row r="875" spans="1:2" x14ac:dyDescent="0.25">
      <c r="A875" s="73"/>
      <c r="B875" s="73"/>
    </row>
    <row r="876" spans="1:2" x14ac:dyDescent="0.25">
      <c r="A876" s="73"/>
      <c r="B876" s="73"/>
    </row>
    <row r="877" spans="1:2" x14ac:dyDescent="0.25">
      <c r="A877" s="73"/>
      <c r="B877" s="73"/>
    </row>
    <row r="878" spans="1:2" x14ac:dyDescent="0.25">
      <c r="A878" s="73"/>
      <c r="B878" s="73"/>
    </row>
    <row r="879" spans="1:2" x14ac:dyDescent="0.25">
      <c r="A879" s="73"/>
      <c r="B879" s="73"/>
    </row>
    <row r="880" spans="1:2" x14ac:dyDescent="0.25">
      <c r="A880" s="73"/>
      <c r="B880" s="73"/>
    </row>
    <row r="881" spans="1:2" x14ac:dyDescent="0.25">
      <c r="A881" s="73"/>
      <c r="B881" s="73"/>
    </row>
    <row r="882" spans="1:2" x14ac:dyDescent="0.25">
      <c r="A882" s="73"/>
      <c r="B882" s="73"/>
    </row>
    <row r="883" spans="1:2" x14ac:dyDescent="0.25">
      <c r="A883" s="73"/>
      <c r="B883" s="73"/>
    </row>
    <row r="884" spans="1:2" x14ac:dyDescent="0.25">
      <c r="A884" s="73"/>
      <c r="B884" s="73"/>
    </row>
    <row r="885" spans="1:2" x14ac:dyDescent="0.25">
      <c r="A885" s="73"/>
      <c r="B885" s="73"/>
    </row>
    <row r="886" spans="1:2" x14ac:dyDescent="0.25">
      <c r="A886" s="73"/>
      <c r="B886" s="73"/>
    </row>
    <row r="887" spans="1:2" x14ac:dyDescent="0.25">
      <c r="A887" s="73"/>
      <c r="B887" s="73"/>
    </row>
    <row r="888" spans="1:2" x14ac:dyDescent="0.25">
      <c r="A888" s="73"/>
      <c r="B888" s="73"/>
    </row>
    <row r="889" spans="1:2" x14ac:dyDescent="0.25">
      <c r="A889" s="73"/>
      <c r="B889" s="73"/>
    </row>
    <row r="890" spans="1:2" x14ac:dyDescent="0.25">
      <c r="A890" s="73"/>
      <c r="B890" s="73"/>
    </row>
    <row r="891" spans="1:2" x14ac:dyDescent="0.25">
      <c r="A891" s="73"/>
      <c r="B891" s="73"/>
    </row>
    <row r="892" spans="1:2" x14ac:dyDescent="0.25">
      <c r="A892" s="73"/>
      <c r="B892" s="73"/>
    </row>
    <row r="893" spans="1:2" x14ac:dyDescent="0.25">
      <c r="A893" s="73"/>
      <c r="B893" s="73"/>
    </row>
    <row r="894" spans="1:2" x14ac:dyDescent="0.25">
      <c r="A894" s="73"/>
      <c r="B894" s="73"/>
    </row>
    <row r="895" spans="1:2" x14ac:dyDescent="0.25">
      <c r="A895" s="73"/>
      <c r="B895" s="73"/>
    </row>
    <row r="896" spans="1:2" x14ac:dyDescent="0.25">
      <c r="A896" s="73"/>
      <c r="B896" s="73"/>
    </row>
    <row r="897" spans="1:2" x14ac:dyDescent="0.25">
      <c r="A897" s="73"/>
      <c r="B897" s="73"/>
    </row>
    <row r="898" spans="1:2" x14ac:dyDescent="0.25">
      <c r="A898" s="73"/>
      <c r="B898" s="73"/>
    </row>
    <row r="899" spans="1:2" x14ac:dyDescent="0.25">
      <c r="A899" s="73"/>
      <c r="B899" s="73"/>
    </row>
    <row r="900" spans="1:2" x14ac:dyDescent="0.25">
      <c r="A900" s="73"/>
      <c r="B900" s="73"/>
    </row>
    <row r="901" spans="1:2" x14ac:dyDescent="0.25">
      <c r="A901" s="73"/>
      <c r="B901" s="73"/>
    </row>
    <row r="902" spans="1:2" x14ac:dyDescent="0.25">
      <c r="A902" s="73"/>
      <c r="B902" s="73"/>
    </row>
    <row r="903" spans="1:2" x14ac:dyDescent="0.25">
      <c r="A903" s="73"/>
      <c r="B903" s="73"/>
    </row>
    <row r="904" spans="1:2" x14ac:dyDescent="0.25">
      <c r="A904" s="73"/>
      <c r="B904" s="73"/>
    </row>
    <row r="905" spans="1:2" x14ac:dyDescent="0.25">
      <c r="A905" s="73"/>
      <c r="B905" s="73"/>
    </row>
    <row r="906" spans="1:2" x14ac:dyDescent="0.25">
      <c r="A906" s="73"/>
      <c r="B906" s="73"/>
    </row>
    <row r="907" spans="1:2" x14ac:dyDescent="0.25">
      <c r="A907" s="73"/>
      <c r="B907" s="73"/>
    </row>
    <row r="908" spans="1:2" x14ac:dyDescent="0.25">
      <c r="A908" s="73"/>
      <c r="B908" s="73"/>
    </row>
    <row r="909" spans="1:2" x14ac:dyDescent="0.25">
      <c r="A909" s="73"/>
      <c r="B909" s="73"/>
    </row>
    <row r="910" spans="1:2" x14ac:dyDescent="0.25">
      <c r="A910" s="73"/>
      <c r="B910" s="73"/>
    </row>
    <row r="911" spans="1:2" x14ac:dyDescent="0.25">
      <c r="A911" s="73"/>
      <c r="B911" s="73"/>
    </row>
    <row r="912" spans="1:2" x14ac:dyDescent="0.25">
      <c r="A912" s="73"/>
      <c r="B912" s="73"/>
    </row>
    <row r="913" spans="1:2" x14ac:dyDescent="0.25">
      <c r="A913" s="73"/>
      <c r="B913" s="73"/>
    </row>
    <row r="914" spans="1:2" x14ac:dyDescent="0.25">
      <c r="A914" s="73"/>
      <c r="B914" s="73"/>
    </row>
    <row r="915" spans="1:2" x14ac:dyDescent="0.25">
      <c r="A915" s="73"/>
      <c r="B915" s="73"/>
    </row>
    <row r="916" spans="1:2" x14ac:dyDescent="0.25">
      <c r="A916" s="73"/>
      <c r="B916" s="73"/>
    </row>
    <row r="917" spans="1:2" x14ac:dyDescent="0.25">
      <c r="A917" s="73"/>
      <c r="B917" s="73"/>
    </row>
    <row r="918" spans="1:2" x14ac:dyDescent="0.25">
      <c r="A918" s="73"/>
      <c r="B918" s="73"/>
    </row>
    <row r="919" spans="1:2" x14ac:dyDescent="0.25">
      <c r="A919" s="73"/>
      <c r="B919" s="73"/>
    </row>
    <row r="920" spans="1:2" x14ac:dyDescent="0.25">
      <c r="A920" s="73"/>
      <c r="B920" s="73"/>
    </row>
    <row r="921" spans="1:2" x14ac:dyDescent="0.25">
      <c r="A921" s="73"/>
      <c r="B921" s="73"/>
    </row>
    <row r="922" spans="1:2" x14ac:dyDescent="0.25">
      <c r="A922" s="73"/>
      <c r="B922" s="73"/>
    </row>
    <row r="923" spans="1:2" x14ac:dyDescent="0.25">
      <c r="A923" s="73"/>
      <c r="B923" s="73"/>
    </row>
    <row r="924" spans="1:2" x14ac:dyDescent="0.25">
      <c r="A924" s="73"/>
      <c r="B924" s="73"/>
    </row>
    <row r="925" spans="1:2" x14ac:dyDescent="0.25">
      <c r="A925" s="73"/>
      <c r="B925" s="73"/>
    </row>
    <row r="926" spans="1:2" x14ac:dyDescent="0.25">
      <c r="A926" s="73"/>
      <c r="B926" s="73"/>
    </row>
    <row r="927" spans="1:2" x14ac:dyDescent="0.25">
      <c r="A927" s="73"/>
      <c r="B927" s="73"/>
    </row>
    <row r="928" spans="1:2" x14ac:dyDescent="0.25">
      <c r="A928" s="73"/>
      <c r="B928" s="73"/>
    </row>
    <row r="929" spans="1:2" x14ac:dyDescent="0.25">
      <c r="A929" s="73"/>
      <c r="B929" s="73"/>
    </row>
    <row r="930" spans="1:2" x14ac:dyDescent="0.25">
      <c r="A930" s="73"/>
      <c r="B930" s="73"/>
    </row>
    <row r="931" spans="1:2" x14ac:dyDescent="0.25">
      <c r="A931" s="73"/>
      <c r="B931" s="73"/>
    </row>
    <row r="932" spans="1:2" x14ac:dyDescent="0.25">
      <c r="A932" s="73"/>
      <c r="B932" s="73"/>
    </row>
    <row r="933" spans="1:2" x14ac:dyDescent="0.25">
      <c r="A933" s="73"/>
      <c r="B933" s="73"/>
    </row>
    <row r="934" spans="1:2" x14ac:dyDescent="0.25">
      <c r="A934" s="73"/>
      <c r="B934" s="73"/>
    </row>
    <row r="935" spans="1:2" x14ac:dyDescent="0.25">
      <c r="A935" s="73"/>
      <c r="B935" s="73"/>
    </row>
    <row r="936" spans="1:2" x14ac:dyDescent="0.25">
      <c r="A936" s="73"/>
      <c r="B936" s="73"/>
    </row>
    <row r="937" spans="1:2" x14ac:dyDescent="0.25">
      <c r="A937" s="73"/>
      <c r="B937" s="73"/>
    </row>
    <row r="938" spans="1:2" x14ac:dyDescent="0.25">
      <c r="A938" s="73"/>
      <c r="B938" s="73"/>
    </row>
    <row r="939" spans="1:2" x14ac:dyDescent="0.25">
      <c r="A939" s="73"/>
      <c r="B939" s="73"/>
    </row>
    <row r="940" spans="1:2" x14ac:dyDescent="0.25">
      <c r="A940" s="73"/>
      <c r="B940" s="73"/>
    </row>
    <row r="941" spans="1:2" x14ac:dyDescent="0.25">
      <c r="A941" s="73"/>
      <c r="B941" s="73"/>
    </row>
    <row r="942" spans="1:2" x14ac:dyDescent="0.25">
      <c r="A942" s="73"/>
      <c r="B942" s="73"/>
    </row>
    <row r="943" spans="1:2" x14ac:dyDescent="0.25">
      <c r="A943" s="73"/>
      <c r="B943" s="73"/>
    </row>
    <row r="944" spans="1:2" x14ac:dyDescent="0.25">
      <c r="A944" s="73"/>
      <c r="B944" s="73"/>
    </row>
    <row r="945" spans="1:2" x14ac:dyDescent="0.25">
      <c r="A945" s="73"/>
      <c r="B945" s="73"/>
    </row>
    <row r="946" spans="1:2" x14ac:dyDescent="0.25">
      <c r="A946" s="73"/>
      <c r="B946" s="73"/>
    </row>
    <row r="947" spans="1:2" x14ac:dyDescent="0.25">
      <c r="A947" s="73"/>
      <c r="B947" s="73"/>
    </row>
    <row r="948" spans="1:2" x14ac:dyDescent="0.25">
      <c r="A948" s="73"/>
      <c r="B948" s="73"/>
    </row>
    <row r="949" spans="1:2" x14ac:dyDescent="0.25">
      <c r="A949" s="73"/>
      <c r="B949" s="73"/>
    </row>
    <row r="950" spans="1:2" x14ac:dyDescent="0.25">
      <c r="A950" s="73"/>
      <c r="B950" s="73"/>
    </row>
    <row r="951" spans="1:2" x14ac:dyDescent="0.25">
      <c r="A951" s="73"/>
      <c r="B951" s="73"/>
    </row>
    <row r="952" spans="1:2" x14ac:dyDescent="0.25">
      <c r="A952" s="73"/>
      <c r="B952" s="73"/>
    </row>
    <row r="953" spans="1:2" x14ac:dyDescent="0.25">
      <c r="A953" s="73"/>
      <c r="B953" s="73"/>
    </row>
    <row r="954" spans="1:2" x14ac:dyDescent="0.25">
      <c r="A954" s="73"/>
      <c r="B954" s="73"/>
    </row>
    <row r="955" spans="1:2" x14ac:dyDescent="0.25">
      <c r="A955" s="73"/>
      <c r="B955" s="73"/>
    </row>
    <row r="956" spans="1:2" x14ac:dyDescent="0.25">
      <c r="A956" s="73"/>
      <c r="B956" s="73"/>
    </row>
    <row r="957" spans="1:2" x14ac:dyDescent="0.25">
      <c r="A957" s="73"/>
      <c r="B957" s="73"/>
    </row>
    <row r="958" spans="1:2" x14ac:dyDescent="0.25">
      <c r="A958" s="73"/>
      <c r="B958" s="73"/>
    </row>
    <row r="959" spans="1:2" x14ac:dyDescent="0.25">
      <c r="A959" s="73"/>
      <c r="B959" s="73"/>
    </row>
    <row r="960" spans="1:2" x14ac:dyDescent="0.25">
      <c r="A960" s="73"/>
      <c r="B960" s="73"/>
    </row>
    <row r="961" spans="1:2" x14ac:dyDescent="0.25">
      <c r="A961" s="73"/>
      <c r="B961" s="73"/>
    </row>
    <row r="962" spans="1:2" x14ac:dyDescent="0.25">
      <c r="A962" s="73"/>
      <c r="B962" s="73"/>
    </row>
    <row r="963" spans="1:2" x14ac:dyDescent="0.25">
      <c r="A963" s="73"/>
      <c r="B963" s="73"/>
    </row>
    <row r="964" spans="1:2" x14ac:dyDescent="0.25">
      <c r="A964" s="73"/>
      <c r="B964" s="73"/>
    </row>
    <row r="965" spans="1:2" x14ac:dyDescent="0.25">
      <c r="A965" s="73"/>
      <c r="B965" s="73"/>
    </row>
    <row r="966" spans="1:2" x14ac:dyDescent="0.25">
      <c r="A966" s="73"/>
      <c r="B966" s="73"/>
    </row>
    <row r="967" spans="1:2" x14ac:dyDescent="0.25">
      <c r="A967" s="73"/>
      <c r="B967" s="73"/>
    </row>
    <row r="968" spans="1:2" x14ac:dyDescent="0.25">
      <c r="A968" s="73"/>
      <c r="B968" s="73"/>
    </row>
    <row r="969" spans="1:2" x14ac:dyDescent="0.25">
      <c r="A969" s="73"/>
      <c r="B969" s="73"/>
    </row>
    <row r="970" spans="1:2" x14ac:dyDescent="0.25">
      <c r="A970" s="73"/>
      <c r="B970" s="73"/>
    </row>
    <row r="971" spans="1:2" x14ac:dyDescent="0.25">
      <c r="A971" s="73"/>
      <c r="B971" s="73"/>
    </row>
    <row r="972" spans="1:2" x14ac:dyDescent="0.25">
      <c r="A972" s="73"/>
      <c r="B972" s="73"/>
    </row>
    <row r="973" spans="1:2" x14ac:dyDescent="0.25">
      <c r="A973" s="73"/>
      <c r="B973" s="73"/>
    </row>
    <row r="974" spans="1:2" x14ac:dyDescent="0.25">
      <c r="A974" s="73"/>
      <c r="B974" s="73"/>
    </row>
    <row r="975" spans="1:2" x14ac:dyDescent="0.25">
      <c r="A975" s="73"/>
      <c r="B975" s="73"/>
    </row>
    <row r="976" spans="1:2" x14ac:dyDescent="0.25">
      <c r="A976" s="73"/>
      <c r="B976" s="73"/>
    </row>
    <row r="977" spans="1:2" x14ac:dyDescent="0.25">
      <c r="A977" s="73"/>
      <c r="B977" s="73"/>
    </row>
    <row r="978" spans="1:2" x14ac:dyDescent="0.25">
      <c r="A978" s="73"/>
      <c r="B978" s="73"/>
    </row>
    <row r="979" spans="1:2" x14ac:dyDescent="0.25">
      <c r="A979" s="73"/>
      <c r="B979" s="73"/>
    </row>
    <row r="980" spans="1:2" x14ac:dyDescent="0.25">
      <c r="A980" s="73"/>
      <c r="B980" s="73"/>
    </row>
    <row r="981" spans="1:2" x14ac:dyDescent="0.25">
      <c r="A981" s="73"/>
      <c r="B981" s="73"/>
    </row>
    <row r="982" spans="1:2" x14ac:dyDescent="0.25">
      <c r="A982" s="73"/>
      <c r="B982" s="73"/>
    </row>
    <row r="983" spans="1:2" x14ac:dyDescent="0.25">
      <c r="A983" s="73"/>
      <c r="B983" s="73"/>
    </row>
    <row r="984" spans="1:2" x14ac:dyDescent="0.25">
      <c r="A984" s="73"/>
      <c r="B984" s="73"/>
    </row>
    <row r="985" spans="1:2" x14ac:dyDescent="0.25">
      <c r="A985" s="73"/>
      <c r="B985" s="73"/>
    </row>
    <row r="986" spans="1:2" x14ac:dyDescent="0.25">
      <c r="A986" s="73"/>
      <c r="B986" s="73"/>
    </row>
    <row r="987" spans="1:2" x14ac:dyDescent="0.25">
      <c r="A987" s="73"/>
      <c r="B987" s="73"/>
    </row>
    <row r="988" spans="1:2" x14ac:dyDescent="0.25">
      <c r="A988" s="73"/>
      <c r="B988" s="73"/>
    </row>
    <row r="989" spans="1:2" x14ac:dyDescent="0.25">
      <c r="A989" s="73"/>
      <c r="B989" s="73"/>
    </row>
    <row r="990" spans="1:2" x14ac:dyDescent="0.25">
      <c r="A990" s="73"/>
      <c r="B990" s="73"/>
    </row>
    <row r="991" spans="1:2" x14ac:dyDescent="0.25">
      <c r="A991" s="73"/>
      <c r="B991" s="73"/>
    </row>
    <row r="992" spans="1:2" x14ac:dyDescent="0.25">
      <c r="A992" s="73"/>
      <c r="B992" s="73"/>
    </row>
    <row r="993" spans="1:2" x14ac:dyDescent="0.25">
      <c r="A993" s="73"/>
      <c r="B993" s="73"/>
    </row>
    <row r="994" spans="1:2" x14ac:dyDescent="0.25">
      <c r="A994" s="73"/>
      <c r="B994" s="73"/>
    </row>
    <row r="995" spans="1:2" x14ac:dyDescent="0.25">
      <c r="A995" s="73"/>
      <c r="B995" s="73"/>
    </row>
    <row r="996" spans="1:2" x14ac:dyDescent="0.25">
      <c r="A996" s="73"/>
      <c r="B996" s="73"/>
    </row>
    <row r="997" spans="1:2" x14ac:dyDescent="0.25">
      <c r="A997" s="73"/>
      <c r="B997" s="73"/>
    </row>
    <row r="998" spans="1:2" x14ac:dyDescent="0.25">
      <c r="A998" s="73"/>
      <c r="B998" s="73"/>
    </row>
    <row r="999" spans="1:2" x14ac:dyDescent="0.25">
      <c r="A999" s="73"/>
      <c r="B999" s="73"/>
    </row>
    <row r="1000" spans="1:2" x14ac:dyDescent="0.25">
      <c r="A1000" s="73"/>
      <c r="B1000" s="73"/>
    </row>
    <row r="1001" spans="1:2" x14ac:dyDescent="0.25">
      <c r="A1001" s="73"/>
      <c r="B1001" s="73"/>
    </row>
    <row r="1002" spans="1:2" x14ac:dyDescent="0.25">
      <c r="A1002" s="73"/>
      <c r="B1002" s="73"/>
    </row>
    <row r="1003" spans="1:2" x14ac:dyDescent="0.25">
      <c r="A1003" s="73"/>
      <c r="B1003" s="73"/>
    </row>
    <row r="1004" spans="1:2" x14ac:dyDescent="0.25">
      <c r="A1004" s="73"/>
      <c r="B1004" s="73"/>
    </row>
    <row r="1005" spans="1:2" x14ac:dyDescent="0.25">
      <c r="A1005" s="73"/>
      <c r="B1005" s="73"/>
    </row>
    <row r="1006" spans="1:2" x14ac:dyDescent="0.25">
      <c r="A1006" s="73"/>
      <c r="B1006" s="73"/>
    </row>
    <row r="1007" spans="1:2" x14ac:dyDescent="0.25">
      <c r="A1007" s="73"/>
      <c r="B1007" s="73"/>
    </row>
    <row r="1008" spans="1:2" x14ac:dyDescent="0.25">
      <c r="A1008" s="73"/>
      <c r="B1008" s="73"/>
    </row>
    <row r="1009" spans="1:2" x14ac:dyDescent="0.25">
      <c r="A1009" s="73"/>
      <c r="B1009" s="73"/>
    </row>
    <row r="1010" spans="1:2" x14ac:dyDescent="0.25">
      <c r="A1010" s="73"/>
      <c r="B1010" s="73"/>
    </row>
    <row r="1011" spans="1:2" x14ac:dyDescent="0.25">
      <c r="A1011" s="73"/>
      <c r="B1011" s="73"/>
    </row>
    <row r="1012" spans="1:2" x14ac:dyDescent="0.25">
      <c r="A1012" s="73"/>
      <c r="B1012" s="73"/>
    </row>
    <row r="1013" spans="1:2" x14ac:dyDescent="0.25">
      <c r="A1013" s="73"/>
      <c r="B1013" s="73"/>
    </row>
    <row r="1014" spans="1:2" x14ac:dyDescent="0.25">
      <c r="A1014" s="73"/>
      <c r="B1014" s="73"/>
    </row>
    <row r="1015" spans="1:2" x14ac:dyDescent="0.25">
      <c r="A1015" s="73"/>
      <c r="B1015" s="73"/>
    </row>
    <row r="1016" spans="1:2" x14ac:dyDescent="0.25">
      <c r="A1016" s="73"/>
      <c r="B1016" s="73"/>
    </row>
    <row r="1017" spans="1:2" x14ac:dyDescent="0.25">
      <c r="A1017" s="73"/>
      <c r="B1017" s="73"/>
    </row>
    <row r="1018" spans="1:2" x14ac:dyDescent="0.25">
      <c r="A1018" s="73"/>
      <c r="B1018" s="73"/>
    </row>
    <row r="1019" spans="1:2" x14ac:dyDescent="0.25">
      <c r="A1019" s="73"/>
      <c r="B1019" s="73"/>
    </row>
    <row r="1020" spans="1:2" x14ac:dyDescent="0.25">
      <c r="A1020" s="73"/>
      <c r="B1020" s="73"/>
    </row>
    <row r="1021" spans="1:2" x14ac:dyDescent="0.25">
      <c r="A1021" s="73"/>
      <c r="B1021" s="73"/>
    </row>
    <row r="1022" spans="1:2" x14ac:dyDescent="0.25">
      <c r="A1022" s="73"/>
      <c r="B1022" s="73"/>
    </row>
    <row r="1023" spans="1:2" x14ac:dyDescent="0.25">
      <c r="A1023" s="73"/>
      <c r="B1023" s="73"/>
    </row>
    <row r="1024" spans="1:2" x14ac:dyDescent="0.25">
      <c r="A1024" s="73"/>
      <c r="B1024" s="73"/>
    </row>
    <row r="1025" spans="1:2" x14ac:dyDescent="0.25">
      <c r="A1025" s="73"/>
      <c r="B1025" s="73"/>
    </row>
    <row r="1026" spans="1:2" x14ac:dyDescent="0.25">
      <c r="A1026" s="73"/>
      <c r="B1026" s="73"/>
    </row>
    <row r="1027" spans="1:2" x14ac:dyDescent="0.25">
      <c r="A1027" s="73"/>
      <c r="B1027" s="73"/>
    </row>
    <row r="1028" spans="1:2" x14ac:dyDescent="0.25">
      <c r="A1028" s="73"/>
      <c r="B1028" s="73"/>
    </row>
    <row r="1029" spans="1:2" x14ac:dyDescent="0.25">
      <c r="A1029" s="73"/>
      <c r="B1029" s="73"/>
    </row>
    <row r="1030" spans="1:2" x14ac:dyDescent="0.25">
      <c r="A1030" s="73"/>
      <c r="B1030" s="73"/>
    </row>
    <row r="1031" spans="1:2" x14ac:dyDescent="0.25">
      <c r="A1031" s="73"/>
      <c r="B1031" s="73"/>
    </row>
    <row r="1032" spans="1:2" x14ac:dyDescent="0.25">
      <c r="A1032" s="73"/>
      <c r="B1032" s="73"/>
    </row>
    <row r="1033" spans="1:2" x14ac:dyDescent="0.25">
      <c r="A1033" s="73"/>
      <c r="B1033" s="73"/>
    </row>
    <row r="1034" spans="1:2" x14ac:dyDescent="0.25">
      <c r="A1034" s="73"/>
      <c r="B1034" s="73"/>
    </row>
    <row r="1035" spans="1:2" x14ac:dyDescent="0.25">
      <c r="A1035" s="73"/>
      <c r="B1035" s="73"/>
    </row>
    <row r="1036" spans="1:2" x14ac:dyDescent="0.25">
      <c r="A1036" s="73"/>
      <c r="B1036" s="73"/>
    </row>
    <row r="1037" spans="1:2" x14ac:dyDescent="0.25">
      <c r="A1037" s="73"/>
      <c r="B1037" s="73"/>
    </row>
    <row r="1038" spans="1:2" x14ac:dyDescent="0.25">
      <c r="A1038" s="73"/>
      <c r="B1038" s="73"/>
    </row>
    <row r="1039" spans="1:2" x14ac:dyDescent="0.25">
      <c r="A1039" s="73"/>
      <c r="B1039" s="73"/>
    </row>
    <row r="1040" spans="1:2" x14ac:dyDescent="0.25">
      <c r="A1040" s="73"/>
      <c r="B1040" s="73"/>
    </row>
    <row r="1041" spans="1:2" x14ac:dyDescent="0.25">
      <c r="A1041" s="73"/>
      <c r="B1041" s="73"/>
    </row>
    <row r="1042" spans="1:2" x14ac:dyDescent="0.25">
      <c r="A1042" s="73"/>
      <c r="B1042" s="73"/>
    </row>
    <row r="1043" spans="1:2" x14ac:dyDescent="0.25">
      <c r="A1043" s="73"/>
      <c r="B1043" s="73"/>
    </row>
    <row r="1044" spans="1:2" x14ac:dyDescent="0.25">
      <c r="A1044" s="73"/>
      <c r="B1044" s="73"/>
    </row>
    <row r="1045" spans="1:2" x14ac:dyDescent="0.25">
      <c r="A1045" s="73"/>
      <c r="B1045" s="73"/>
    </row>
    <row r="1046" spans="1:2" x14ac:dyDescent="0.25">
      <c r="A1046" s="73"/>
      <c r="B1046" s="73"/>
    </row>
    <row r="1047" spans="1:2" x14ac:dyDescent="0.25">
      <c r="A1047" s="73"/>
      <c r="B1047" s="73"/>
    </row>
    <row r="1048" spans="1:2" x14ac:dyDescent="0.25">
      <c r="A1048" s="73"/>
      <c r="B1048" s="73"/>
    </row>
    <row r="1049" spans="1:2" x14ac:dyDescent="0.25">
      <c r="A1049" s="73"/>
      <c r="B1049" s="73"/>
    </row>
    <row r="1050" spans="1:2" x14ac:dyDescent="0.25">
      <c r="A1050" s="73"/>
      <c r="B1050" s="73"/>
    </row>
    <row r="1051" spans="1:2" x14ac:dyDescent="0.25">
      <c r="A1051" s="73"/>
      <c r="B1051" s="73"/>
    </row>
    <row r="1052" spans="1:2" x14ac:dyDescent="0.25">
      <c r="A1052" s="73"/>
      <c r="B1052" s="73"/>
    </row>
    <row r="1053" spans="1:2" x14ac:dyDescent="0.25">
      <c r="A1053" s="73"/>
      <c r="B1053" s="73"/>
    </row>
    <row r="1054" spans="1:2" x14ac:dyDescent="0.25">
      <c r="A1054" s="73"/>
      <c r="B1054" s="73"/>
    </row>
    <row r="1055" spans="1:2" x14ac:dyDescent="0.25">
      <c r="A1055" s="73"/>
      <c r="B1055" s="73"/>
    </row>
    <row r="1056" spans="1:2" x14ac:dyDescent="0.25">
      <c r="A1056" s="73"/>
      <c r="B1056" s="73"/>
    </row>
    <row r="1057" spans="1:2" x14ac:dyDescent="0.25">
      <c r="A1057" s="73"/>
      <c r="B1057" s="73"/>
    </row>
    <row r="1058" spans="1:2" x14ac:dyDescent="0.25">
      <c r="A1058" s="73"/>
      <c r="B1058" s="73"/>
    </row>
    <row r="1059" spans="1:2" x14ac:dyDescent="0.25">
      <c r="A1059" s="73"/>
      <c r="B1059" s="73"/>
    </row>
    <row r="1060" spans="1:2" x14ac:dyDescent="0.25">
      <c r="A1060" s="73"/>
      <c r="B1060" s="73"/>
    </row>
    <row r="1061" spans="1:2" x14ac:dyDescent="0.25">
      <c r="A1061" s="73"/>
      <c r="B1061" s="73"/>
    </row>
    <row r="1062" spans="1:2" x14ac:dyDescent="0.25">
      <c r="A1062" s="73"/>
      <c r="B1062" s="73"/>
    </row>
    <row r="1063" spans="1:2" x14ac:dyDescent="0.25">
      <c r="A1063" s="73"/>
      <c r="B1063" s="73"/>
    </row>
    <row r="1064" spans="1:2" x14ac:dyDescent="0.25">
      <c r="A1064" s="73"/>
      <c r="B1064" s="73"/>
    </row>
    <row r="1065" spans="1:2" x14ac:dyDescent="0.25">
      <c r="A1065" s="73"/>
      <c r="B1065" s="73"/>
    </row>
    <row r="1066" spans="1:2" x14ac:dyDescent="0.25">
      <c r="A1066" s="73"/>
      <c r="B1066" s="73"/>
    </row>
    <row r="1067" spans="1:2" x14ac:dyDescent="0.25">
      <c r="A1067" s="73"/>
      <c r="B1067" s="73"/>
    </row>
    <row r="1068" spans="1:2" x14ac:dyDescent="0.25">
      <c r="A1068" s="73"/>
      <c r="B1068" s="73"/>
    </row>
    <row r="1069" spans="1:2" x14ac:dyDescent="0.25">
      <c r="A1069" s="73"/>
      <c r="B1069" s="73"/>
    </row>
    <row r="1070" spans="1:2" x14ac:dyDescent="0.25">
      <c r="A1070" s="73"/>
      <c r="B1070" s="73"/>
    </row>
    <row r="1071" spans="1:2" x14ac:dyDescent="0.25">
      <c r="A1071" s="73"/>
      <c r="B1071" s="73"/>
    </row>
    <row r="1072" spans="1:2" x14ac:dyDescent="0.25">
      <c r="A1072" s="73"/>
      <c r="B1072" s="73"/>
    </row>
    <row r="1073" spans="1:2" x14ac:dyDescent="0.25">
      <c r="A1073" s="73"/>
      <c r="B1073" s="73"/>
    </row>
    <row r="1074" spans="1:2" x14ac:dyDescent="0.25">
      <c r="A1074" s="73"/>
      <c r="B1074" s="73"/>
    </row>
    <row r="1075" spans="1:2" x14ac:dyDescent="0.25">
      <c r="A1075" s="73"/>
      <c r="B1075" s="73"/>
    </row>
    <row r="1076" spans="1:2" x14ac:dyDescent="0.25">
      <c r="A1076" s="73"/>
      <c r="B1076" s="73"/>
    </row>
    <row r="1077" spans="1:2" x14ac:dyDescent="0.25">
      <c r="A1077" s="73"/>
      <c r="B1077" s="73"/>
    </row>
    <row r="1078" spans="1:2" x14ac:dyDescent="0.25">
      <c r="A1078" s="73"/>
      <c r="B1078" s="73"/>
    </row>
    <row r="1079" spans="1:2" x14ac:dyDescent="0.25">
      <c r="A1079" s="73"/>
      <c r="B1079" s="73"/>
    </row>
    <row r="1080" spans="1:2" x14ac:dyDescent="0.25">
      <c r="A1080" s="73"/>
      <c r="B1080" s="73"/>
    </row>
    <row r="1081" spans="1:2" x14ac:dyDescent="0.25">
      <c r="A1081" s="73"/>
      <c r="B1081" s="73"/>
    </row>
    <row r="1082" spans="1:2" x14ac:dyDescent="0.25">
      <c r="A1082" s="73"/>
      <c r="B1082" s="73"/>
    </row>
    <row r="1083" spans="1:2" x14ac:dyDescent="0.25">
      <c r="A1083" s="73"/>
      <c r="B1083" s="73"/>
    </row>
    <row r="1084" spans="1:2" x14ac:dyDescent="0.25">
      <c r="A1084" s="73"/>
      <c r="B1084" s="73"/>
    </row>
    <row r="1085" spans="1:2" x14ac:dyDescent="0.25">
      <c r="A1085" s="73"/>
      <c r="B1085" s="73"/>
    </row>
    <row r="1086" spans="1:2" x14ac:dyDescent="0.25">
      <c r="A1086" s="73"/>
      <c r="B1086" s="73"/>
    </row>
    <row r="1087" spans="1:2" x14ac:dyDescent="0.25">
      <c r="A1087" s="73"/>
      <c r="B1087" s="73"/>
    </row>
    <row r="1088" spans="1:2" x14ac:dyDescent="0.25">
      <c r="A1088" s="73"/>
      <c r="B1088" s="73"/>
    </row>
    <row r="1089" spans="1:2" x14ac:dyDescent="0.25">
      <c r="A1089" s="73"/>
      <c r="B1089" s="73"/>
    </row>
    <row r="1090" spans="1:2" x14ac:dyDescent="0.25">
      <c r="A1090" s="73"/>
      <c r="B1090" s="73"/>
    </row>
    <row r="1091" spans="1:2" x14ac:dyDescent="0.25">
      <c r="A1091" s="73"/>
      <c r="B1091" s="73"/>
    </row>
    <row r="1092" spans="1:2" x14ac:dyDescent="0.25">
      <c r="A1092" s="73"/>
      <c r="B1092" s="73"/>
    </row>
    <row r="1093" spans="1:2" x14ac:dyDescent="0.25">
      <c r="A1093" s="73"/>
      <c r="B1093" s="73"/>
    </row>
    <row r="1094" spans="1:2" x14ac:dyDescent="0.25">
      <c r="A1094" s="73"/>
      <c r="B1094" s="73"/>
    </row>
    <row r="1095" spans="1:2" x14ac:dyDescent="0.25">
      <c r="A1095" s="73"/>
      <c r="B1095" s="73"/>
    </row>
    <row r="1096" spans="1:2" x14ac:dyDescent="0.25">
      <c r="A1096" s="73"/>
      <c r="B1096" s="73"/>
    </row>
    <row r="1097" spans="1:2" x14ac:dyDescent="0.25">
      <c r="A1097" s="73"/>
      <c r="B1097" s="73"/>
    </row>
    <row r="1098" spans="1:2" x14ac:dyDescent="0.25">
      <c r="A1098" s="73"/>
      <c r="B1098" s="73"/>
    </row>
    <row r="1099" spans="1:2" x14ac:dyDescent="0.25">
      <c r="A1099" s="73"/>
      <c r="B1099" s="73"/>
    </row>
    <row r="1100" spans="1:2" x14ac:dyDescent="0.25">
      <c r="A1100" s="73"/>
      <c r="B1100" s="73"/>
    </row>
    <row r="1101" spans="1:2" x14ac:dyDescent="0.25">
      <c r="A1101" s="73"/>
      <c r="B1101" s="73"/>
    </row>
    <row r="1102" spans="1:2" x14ac:dyDescent="0.25">
      <c r="A1102" s="73"/>
      <c r="B1102" s="73"/>
    </row>
    <row r="1103" spans="1:2" x14ac:dyDescent="0.25">
      <c r="A1103" s="73"/>
      <c r="B1103" s="73"/>
    </row>
    <row r="1104" spans="1:2" x14ac:dyDescent="0.25">
      <c r="A1104" s="73"/>
      <c r="B1104" s="73"/>
    </row>
    <row r="1105" spans="1:2" x14ac:dyDescent="0.25">
      <c r="A1105" s="73"/>
      <c r="B1105" s="73"/>
    </row>
    <row r="1106" spans="1:2" x14ac:dyDescent="0.25">
      <c r="A1106" s="73"/>
      <c r="B1106" s="73"/>
    </row>
    <row r="1107" spans="1:2" x14ac:dyDescent="0.25">
      <c r="A1107" s="73"/>
      <c r="B1107" s="73"/>
    </row>
    <row r="1108" spans="1:2" x14ac:dyDescent="0.25">
      <c r="A1108" s="73"/>
      <c r="B1108" s="73"/>
    </row>
    <row r="1109" spans="1:2" x14ac:dyDescent="0.25">
      <c r="A1109" s="73"/>
      <c r="B1109" s="73"/>
    </row>
    <row r="1110" spans="1:2" x14ac:dyDescent="0.25">
      <c r="A1110" s="73"/>
      <c r="B1110" s="73"/>
    </row>
    <row r="1111" spans="1:2" x14ac:dyDescent="0.25">
      <c r="A1111" s="73"/>
      <c r="B1111" s="73"/>
    </row>
    <row r="1112" spans="1:2" x14ac:dyDescent="0.25">
      <c r="A1112" s="73"/>
      <c r="B1112" s="73"/>
    </row>
    <row r="1113" spans="1:2" x14ac:dyDescent="0.25">
      <c r="A1113" s="73"/>
      <c r="B1113" s="73"/>
    </row>
    <row r="1114" spans="1:2" x14ac:dyDescent="0.25">
      <c r="A1114" s="73"/>
      <c r="B1114" s="73"/>
    </row>
    <row r="1115" spans="1:2" x14ac:dyDescent="0.25">
      <c r="A1115" s="73"/>
      <c r="B1115" s="73"/>
    </row>
    <row r="1116" spans="1:2" x14ac:dyDescent="0.25">
      <c r="A1116" s="73"/>
      <c r="B1116" s="73"/>
    </row>
    <row r="1117" spans="1:2" x14ac:dyDescent="0.25">
      <c r="A1117" s="73"/>
      <c r="B1117" s="73"/>
    </row>
    <row r="1118" spans="1:2" x14ac:dyDescent="0.25">
      <c r="A1118" s="73"/>
      <c r="B1118" s="73"/>
    </row>
    <row r="1119" spans="1:2" x14ac:dyDescent="0.25">
      <c r="A1119" s="73"/>
      <c r="B1119" s="73"/>
    </row>
    <row r="1120" spans="1:2" x14ac:dyDescent="0.25">
      <c r="A1120" s="73"/>
      <c r="B1120" s="73"/>
    </row>
    <row r="1121" spans="1:2" x14ac:dyDescent="0.25">
      <c r="A1121" s="73"/>
      <c r="B1121" s="73"/>
    </row>
    <row r="1122" spans="1:2" x14ac:dyDescent="0.25">
      <c r="A1122" s="73"/>
      <c r="B1122" s="73"/>
    </row>
    <row r="1123" spans="1:2" x14ac:dyDescent="0.25">
      <c r="A1123" s="73"/>
      <c r="B1123" s="73"/>
    </row>
    <row r="1124" spans="1:2" x14ac:dyDescent="0.25">
      <c r="A1124" s="73"/>
      <c r="B1124" s="73"/>
    </row>
    <row r="1125" spans="1:2" x14ac:dyDescent="0.25">
      <c r="A1125" s="73"/>
      <c r="B1125" s="73"/>
    </row>
    <row r="1126" spans="1:2" x14ac:dyDescent="0.25">
      <c r="A1126" s="73"/>
      <c r="B1126" s="73"/>
    </row>
    <row r="1127" spans="1:2" x14ac:dyDescent="0.25">
      <c r="A1127" s="73"/>
      <c r="B1127" s="73"/>
    </row>
    <row r="1128" spans="1:2" x14ac:dyDescent="0.25">
      <c r="A1128" s="73"/>
      <c r="B1128" s="73"/>
    </row>
    <row r="1129" spans="1:2" x14ac:dyDescent="0.25">
      <c r="A1129" s="73"/>
      <c r="B1129" s="73"/>
    </row>
    <row r="1130" spans="1:2" x14ac:dyDescent="0.25">
      <c r="A1130" s="73"/>
      <c r="B1130" s="73"/>
    </row>
    <row r="1131" spans="1:2" x14ac:dyDescent="0.25">
      <c r="A1131" s="73"/>
      <c r="B1131" s="73"/>
    </row>
    <row r="1132" spans="1:2" x14ac:dyDescent="0.25">
      <c r="A1132" s="73"/>
      <c r="B1132" s="73"/>
    </row>
    <row r="1133" spans="1:2" x14ac:dyDescent="0.25">
      <c r="A1133" s="73"/>
      <c r="B1133" s="73"/>
    </row>
    <row r="1134" spans="1:2" x14ac:dyDescent="0.25">
      <c r="A1134" s="73"/>
      <c r="B1134" s="73"/>
    </row>
    <row r="1135" spans="1:2" x14ac:dyDescent="0.25">
      <c r="A1135" s="73"/>
      <c r="B1135" s="73"/>
    </row>
    <row r="1136" spans="1:2" x14ac:dyDescent="0.25">
      <c r="A1136" s="73"/>
      <c r="B1136" s="73"/>
    </row>
    <row r="1137" spans="1:2" x14ac:dyDescent="0.25">
      <c r="A1137" s="73"/>
      <c r="B1137" s="73"/>
    </row>
    <row r="1138" spans="1:2" x14ac:dyDescent="0.25">
      <c r="A1138" s="73"/>
      <c r="B1138" s="73"/>
    </row>
    <row r="1139" spans="1:2" x14ac:dyDescent="0.25">
      <c r="A1139" s="73"/>
      <c r="B1139" s="73"/>
    </row>
    <row r="1140" spans="1:2" x14ac:dyDescent="0.25">
      <c r="A1140" s="73"/>
      <c r="B1140" s="73"/>
    </row>
    <row r="1141" spans="1:2" x14ac:dyDescent="0.25">
      <c r="A1141" s="73"/>
      <c r="B1141" s="73"/>
    </row>
    <row r="1142" spans="1:2" x14ac:dyDescent="0.25">
      <c r="A1142" s="73"/>
      <c r="B1142" s="73"/>
    </row>
    <row r="1143" spans="1:2" x14ac:dyDescent="0.25">
      <c r="A1143" s="73"/>
      <c r="B1143" s="73"/>
    </row>
    <row r="1144" spans="1:2" x14ac:dyDescent="0.25">
      <c r="A1144" s="73"/>
      <c r="B1144" s="73"/>
    </row>
    <row r="1145" spans="1:2" x14ac:dyDescent="0.25">
      <c r="A1145" s="73"/>
      <c r="B1145" s="73"/>
    </row>
    <row r="1146" spans="1:2" x14ac:dyDescent="0.25">
      <c r="A1146" s="73"/>
      <c r="B1146" s="73"/>
    </row>
    <row r="1147" spans="1:2" x14ac:dyDescent="0.25">
      <c r="A1147" s="73"/>
      <c r="B1147" s="73"/>
    </row>
    <row r="1148" spans="1:2" x14ac:dyDescent="0.25">
      <c r="A1148" s="73"/>
      <c r="B1148" s="73"/>
    </row>
    <row r="1149" spans="1:2" x14ac:dyDescent="0.25">
      <c r="A1149" s="73"/>
      <c r="B1149" s="73"/>
    </row>
    <row r="1150" spans="1:2" x14ac:dyDescent="0.25">
      <c r="A1150" s="73"/>
      <c r="B1150" s="73"/>
    </row>
    <row r="1151" spans="1:2" x14ac:dyDescent="0.25">
      <c r="A1151" s="73"/>
      <c r="B1151" s="73"/>
    </row>
    <row r="1152" spans="1:2" x14ac:dyDescent="0.25">
      <c r="A1152" s="73"/>
      <c r="B1152" s="73"/>
    </row>
    <row r="1153" spans="1:2" x14ac:dyDescent="0.25">
      <c r="A1153" s="73"/>
      <c r="B1153" s="73"/>
    </row>
    <row r="1154" spans="1:2" x14ac:dyDescent="0.25">
      <c r="A1154" s="73"/>
      <c r="B1154" s="73"/>
    </row>
    <row r="1155" spans="1:2" x14ac:dyDescent="0.25">
      <c r="A1155" s="73"/>
      <c r="B1155" s="73"/>
    </row>
    <row r="1156" spans="1:2" x14ac:dyDescent="0.25">
      <c r="A1156" s="73"/>
      <c r="B1156" s="73"/>
    </row>
    <row r="1157" spans="1:2" x14ac:dyDescent="0.25">
      <c r="A1157" s="73"/>
      <c r="B1157" s="73"/>
    </row>
    <row r="1158" spans="1:2" x14ac:dyDescent="0.25">
      <c r="A1158" s="73"/>
      <c r="B1158" s="73"/>
    </row>
    <row r="1159" spans="1:2" x14ac:dyDescent="0.25">
      <c r="A1159" s="73"/>
      <c r="B1159" s="73"/>
    </row>
    <row r="1160" spans="1:2" x14ac:dyDescent="0.25">
      <c r="A1160" s="73"/>
      <c r="B1160" s="73"/>
    </row>
    <row r="1161" spans="1:2" x14ac:dyDescent="0.25">
      <c r="A1161" s="73"/>
      <c r="B1161" s="73"/>
    </row>
    <row r="1162" spans="1:2" x14ac:dyDescent="0.25">
      <c r="A1162" s="73"/>
      <c r="B1162" s="73"/>
    </row>
    <row r="1163" spans="1:2" x14ac:dyDescent="0.25">
      <c r="A1163" s="73"/>
      <c r="B1163" s="73"/>
    </row>
    <row r="1164" spans="1:2" x14ac:dyDescent="0.25">
      <c r="A1164" s="73"/>
      <c r="B1164" s="73"/>
    </row>
    <row r="1165" spans="1:2" x14ac:dyDescent="0.25">
      <c r="A1165" s="73"/>
      <c r="B1165" s="73"/>
    </row>
    <row r="1166" spans="1:2" x14ac:dyDescent="0.25">
      <c r="A1166" s="73"/>
      <c r="B1166" s="73"/>
    </row>
    <row r="1167" spans="1:2" x14ac:dyDescent="0.25">
      <c r="A1167" s="73"/>
      <c r="B1167" s="73"/>
    </row>
    <row r="1168" spans="1:2" x14ac:dyDescent="0.25">
      <c r="A1168" s="73"/>
      <c r="B1168" s="73"/>
    </row>
    <row r="1169" spans="1:2" x14ac:dyDescent="0.25">
      <c r="A1169" s="73"/>
      <c r="B1169" s="73"/>
    </row>
    <row r="1170" spans="1:2" x14ac:dyDescent="0.25">
      <c r="A1170" s="73"/>
      <c r="B1170" s="73"/>
    </row>
    <row r="1171" spans="1:2" x14ac:dyDescent="0.25">
      <c r="A1171" s="73"/>
      <c r="B1171" s="73"/>
    </row>
    <row r="1172" spans="1:2" x14ac:dyDescent="0.25">
      <c r="A1172" s="73"/>
      <c r="B1172" s="73"/>
    </row>
    <row r="1173" spans="1:2" x14ac:dyDescent="0.25">
      <c r="A1173" s="73"/>
      <c r="B1173" s="73"/>
    </row>
    <row r="1174" spans="1:2" x14ac:dyDescent="0.25">
      <c r="A1174" s="73"/>
      <c r="B1174" s="73"/>
    </row>
    <row r="1175" spans="1:2" x14ac:dyDescent="0.25">
      <c r="A1175" s="73"/>
      <c r="B1175" s="73"/>
    </row>
    <row r="1176" spans="1:2" x14ac:dyDescent="0.25">
      <c r="A1176" s="73"/>
      <c r="B1176" s="73"/>
    </row>
    <row r="1177" spans="1:2" x14ac:dyDescent="0.25">
      <c r="A1177" s="73"/>
      <c r="B1177" s="73"/>
    </row>
    <row r="1178" spans="1:2" x14ac:dyDescent="0.25">
      <c r="A1178" s="73"/>
      <c r="B1178" s="73"/>
    </row>
    <row r="1179" spans="1:2" x14ac:dyDescent="0.25">
      <c r="A1179" s="73"/>
      <c r="B1179" s="73"/>
    </row>
    <row r="1180" spans="1:2" x14ac:dyDescent="0.25">
      <c r="A1180" s="73"/>
      <c r="B1180" s="73"/>
    </row>
    <row r="1181" spans="1:2" x14ac:dyDescent="0.25">
      <c r="A1181" s="73"/>
      <c r="B1181" s="73"/>
    </row>
    <row r="1182" spans="1:2" x14ac:dyDescent="0.25">
      <c r="A1182" s="73"/>
      <c r="B1182" s="73"/>
    </row>
    <row r="1183" spans="1:2" x14ac:dyDescent="0.25">
      <c r="A1183" s="73"/>
      <c r="B1183" s="73"/>
    </row>
    <row r="1184" spans="1:2" x14ac:dyDescent="0.25">
      <c r="A1184" s="73"/>
      <c r="B1184" s="73"/>
    </row>
    <row r="1185" spans="1:2" x14ac:dyDescent="0.25">
      <c r="A1185" s="73"/>
      <c r="B1185" s="73"/>
    </row>
    <row r="1186" spans="1:2" x14ac:dyDescent="0.25">
      <c r="A1186" s="73"/>
      <c r="B1186" s="73"/>
    </row>
    <row r="1187" spans="1:2" x14ac:dyDescent="0.25">
      <c r="A1187" s="73"/>
      <c r="B1187" s="73"/>
    </row>
    <row r="1188" spans="1:2" x14ac:dyDescent="0.25">
      <c r="A1188" s="73"/>
      <c r="B1188" s="73"/>
    </row>
    <row r="1189" spans="1:2" x14ac:dyDescent="0.25">
      <c r="A1189" s="73"/>
      <c r="B1189" s="73"/>
    </row>
    <row r="1190" spans="1:2" x14ac:dyDescent="0.25">
      <c r="A1190" s="73"/>
      <c r="B1190" s="73"/>
    </row>
    <row r="1191" spans="1:2" x14ac:dyDescent="0.25">
      <c r="A1191" s="73"/>
      <c r="B1191" s="73"/>
    </row>
    <row r="1192" spans="1:2" x14ac:dyDescent="0.25">
      <c r="A1192" s="73"/>
      <c r="B1192" s="73"/>
    </row>
    <row r="1193" spans="1:2" x14ac:dyDescent="0.25">
      <c r="A1193" s="73"/>
      <c r="B1193" s="73"/>
    </row>
    <row r="1194" spans="1:2" x14ac:dyDescent="0.25">
      <c r="A1194" s="73"/>
      <c r="B1194" s="73"/>
    </row>
    <row r="1195" spans="1:2" x14ac:dyDescent="0.25">
      <c r="A1195" s="73"/>
      <c r="B1195" s="73"/>
    </row>
    <row r="1196" spans="1:2" x14ac:dyDescent="0.25">
      <c r="A1196" s="73"/>
      <c r="B1196" s="73"/>
    </row>
    <row r="1197" spans="1:2" x14ac:dyDescent="0.25">
      <c r="A1197" s="73"/>
      <c r="B1197" s="73"/>
    </row>
    <row r="1198" spans="1:2" x14ac:dyDescent="0.25">
      <c r="A1198" s="73"/>
      <c r="B1198" s="73"/>
    </row>
    <row r="1199" spans="1:2" x14ac:dyDescent="0.25">
      <c r="A1199" s="73"/>
      <c r="B1199" s="73"/>
    </row>
    <row r="1200" spans="1:2" x14ac:dyDescent="0.25">
      <c r="A1200" s="73"/>
      <c r="B1200" s="73"/>
    </row>
    <row r="1201" spans="1:2" x14ac:dyDescent="0.25">
      <c r="A1201" s="73"/>
      <c r="B1201" s="73"/>
    </row>
    <row r="1202" spans="1:2" x14ac:dyDescent="0.25">
      <c r="A1202" s="73"/>
      <c r="B1202" s="73"/>
    </row>
    <row r="1203" spans="1:2" x14ac:dyDescent="0.25">
      <c r="A1203" s="73"/>
      <c r="B1203" s="73"/>
    </row>
    <row r="1204" spans="1:2" x14ac:dyDescent="0.25">
      <c r="A1204" s="73"/>
      <c r="B1204" s="73"/>
    </row>
    <row r="1205" spans="1:2" x14ac:dyDescent="0.25">
      <c r="A1205" s="73"/>
      <c r="B1205" s="73"/>
    </row>
    <row r="1206" spans="1:2" x14ac:dyDescent="0.25">
      <c r="A1206" s="73"/>
      <c r="B1206" s="73"/>
    </row>
    <row r="1207" spans="1:2" x14ac:dyDescent="0.25">
      <c r="A1207" s="73"/>
      <c r="B1207" s="73"/>
    </row>
    <row r="1208" spans="1:2" x14ac:dyDescent="0.25">
      <c r="A1208" s="73"/>
      <c r="B1208" s="73"/>
    </row>
    <row r="1209" spans="1:2" x14ac:dyDescent="0.25">
      <c r="A1209" s="73"/>
      <c r="B1209" s="73"/>
    </row>
    <row r="1210" spans="1:2" x14ac:dyDescent="0.25">
      <c r="A1210" s="73"/>
      <c r="B1210" s="73"/>
    </row>
    <row r="1211" spans="1:2" x14ac:dyDescent="0.25">
      <c r="A1211" s="73"/>
      <c r="B1211" s="73"/>
    </row>
    <row r="1212" spans="1:2" x14ac:dyDescent="0.25">
      <c r="A1212" s="73"/>
      <c r="B1212" s="73"/>
    </row>
    <row r="1213" spans="1:2" x14ac:dyDescent="0.25">
      <c r="A1213" s="73"/>
      <c r="B1213" s="73"/>
    </row>
    <row r="1214" spans="1:2" x14ac:dyDescent="0.25">
      <c r="A1214" s="73"/>
      <c r="B1214" s="73"/>
    </row>
    <row r="1215" spans="1:2" x14ac:dyDescent="0.25">
      <c r="A1215" s="73"/>
      <c r="B1215" s="73"/>
    </row>
    <row r="1216" spans="1:2" x14ac:dyDescent="0.25">
      <c r="A1216" s="73"/>
      <c r="B1216" s="73"/>
    </row>
    <row r="1217" spans="1:2" x14ac:dyDescent="0.25">
      <c r="A1217" s="73"/>
      <c r="B1217" s="73"/>
    </row>
    <row r="1218" spans="1:2" x14ac:dyDescent="0.25">
      <c r="A1218" s="73"/>
      <c r="B1218" s="73"/>
    </row>
    <row r="1219" spans="1:2" x14ac:dyDescent="0.25">
      <c r="A1219" s="73"/>
      <c r="B1219" s="73"/>
    </row>
    <row r="1220" spans="1:2" x14ac:dyDescent="0.25">
      <c r="A1220" s="73"/>
      <c r="B1220" s="73"/>
    </row>
    <row r="1221" spans="1:2" x14ac:dyDescent="0.25">
      <c r="A1221" s="73"/>
      <c r="B1221" s="73"/>
    </row>
    <row r="1222" spans="1:2" x14ac:dyDescent="0.25">
      <c r="A1222" s="73"/>
      <c r="B1222" s="73"/>
    </row>
    <row r="1223" spans="1:2" x14ac:dyDescent="0.25">
      <c r="A1223" s="73"/>
      <c r="B1223" s="73"/>
    </row>
    <row r="1224" spans="1:2" x14ac:dyDescent="0.25">
      <c r="A1224" s="73"/>
      <c r="B1224" s="73"/>
    </row>
    <row r="1225" spans="1:2" x14ac:dyDescent="0.25">
      <c r="A1225" s="73"/>
      <c r="B1225" s="73"/>
    </row>
    <row r="1226" spans="1:2" x14ac:dyDescent="0.25">
      <c r="A1226" s="73"/>
      <c r="B1226" s="73"/>
    </row>
    <row r="1227" spans="1:2" x14ac:dyDescent="0.25">
      <c r="A1227" s="73"/>
      <c r="B1227" s="73"/>
    </row>
    <row r="1228" spans="1:2" x14ac:dyDescent="0.25">
      <c r="A1228" s="73"/>
      <c r="B1228" s="73"/>
    </row>
    <row r="1229" spans="1:2" x14ac:dyDescent="0.25">
      <c r="A1229" s="73"/>
      <c r="B1229" s="73"/>
    </row>
    <row r="1230" spans="1:2" x14ac:dyDescent="0.25">
      <c r="A1230" s="73"/>
      <c r="B1230" s="73"/>
    </row>
    <row r="1231" spans="1:2" x14ac:dyDescent="0.25">
      <c r="A1231" s="73"/>
      <c r="B1231" s="73"/>
    </row>
    <row r="1232" spans="1:2" x14ac:dyDescent="0.25">
      <c r="A1232" s="73"/>
      <c r="B1232" s="73"/>
    </row>
    <row r="1233" spans="1:2" x14ac:dyDescent="0.25">
      <c r="A1233" s="73"/>
      <c r="B1233" s="73"/>
    </row>
    <row r="1234" spans="1:2" x14ac:dyDescent="0.25">
      <c r="A1234" s="73"/>
      <c r="B1234" s="73"/>
    </row>
    <row r="1235" spans="1:2" x14ac:dyDescent="0.25">
      <c r="A1235" s="73"/>
      <c r="B1235" s="73"/>
    </row>
    <row r="1236" spans="1:2" x14ac:dyDescent="0.25">
      <c r="A1236" s="73"/>
      <c r="B1236" s="73"/>
    </row>
    <row r="1237" spans="1:2" x14ac:dyDescent="0.25">
      <c r="A1237" s="73"/>
      <c r="B1237" s="73"/>
    </row>
    <row r="1238" spans="1:2" x14ac:dyDescent="0.25">
      <c r="A1238" s="73"/>
      <c r="B1238" s="73"/>
    </row>
    <row r="1239" spans="1:2" x14ac:dyDescent="0.25">
      <c r="A1239" s="73"/>
      <c r="B1239" s="73"/>
    </row>
    <row r="1240" spans="1:2" x14ac:dyDescent="0.25">
      <c r="A1240" s="73"/>
      <c r="B1240" s="73"/>
    </row>
    <row r="1241" spans="1:2" x14ac:dyDescent="0.25">
      <c r="A1241" s="73"/>
      <c r="B1241" s="73"/>
    </row>
    <row r="1242" spans="1:2" x14ac:dyDescent="0.25">
      <c r="A1242" s="73"/>
      <c r="B1242" s="73"/>
    </row>
    <row r="1243" spans="1:2" x14ac:dyDescent="0.25">
      <c r="A1243" s="73"/>
      <c r="B1243" s="73"/>
    </row>
    <row r="1244" spans="1:2" x14ac:dyDescent="0.25">
      <c r="A1244" s="73"/>
      <c r="B1244" s="73"/>
    </row>
    <row r="1245" spans="1:2" x14ac:dyDescent="0.25">
      <c r="A1245" s="73"/>
      <c r="B1245" s="73"/>
    </row>
    <row r="1246" spans="1:2" x14ac:dyDescent="0.25">
      <c r="A1246" s="73"/>
      <c r="B1246" s="73"/>
    </row>
    <row r="1247" spans="1:2" x14ac:dyDescent="0.25">
      <c r="A1247" s="73"/>
      <c r="B1247" s="73"/>
    </row>
    <row r="1248" spans="1:2" x14ac:dyDescent="0.25">
      <c r="A1248" s="73"/>
      <c r="B1248" s="73"/>
    </row>
    <row r="1249" spans="1:2" x14ac:dyDescent="0.25">
      <c r="A1249" s="73"/>
      <c r="B1249" s="73"/>
    </row>
    <row r="1250" spans="1:2" x14ac:dyDescent="0.25">
      <c r="A1250" s="73"/>
      <c r="B1250" s="73"/>
    </row>
    <row r="1251" spans="1:2" x14ac:dyDescent="0.25">
      <c r="A1251" s="73"/>
      <c r="B1251" s="73"/>
    </row>
    <row r="1252" spans="1:2" x14ac:dyDescent="0.25">
      <c r="A1252" s="73"/>
      <c r="B1252" s="73"/>
    </row>
    <row r="1253" spans="1:2" x14ac:dyDescent="0.25">
      <c r="A1253" s="73"/>
      <c r="B1253" s="73"/>
    </row>
    <row r="1254" spans="1:2" x14ac:dyDescent="0.25">
      <c r="A1254" s="73"/>
      <c r="B1254" s="73"/>
    </row>
    <row r="1255" spans="1:2" x14ac:dyDescent="0.25">
      <c r="A1255" s="73"/>
      <c r="B1255" s="73"/>
    </row>
    <row r="1256" spans="1:2" x14ac:dyDescent="0.25">
      <c r="A1256" s="73"/>
      <c r="B1256" s="73"/>
    </row>
    <row r="1257" spans="1:2" x14ac:dyDescent="0.25">
      <c r="A1257" s="73"/>
      <c r="B1257" s="73"/>
    </row>
    <row r="1258" spans="1:2" x14ac:dyDescent="0.25">
      <c r="A1258" s="73"/>
      <c r="B1258" s="73"/>
    </row>
    <row r="1259" spans="1:2" x14ac:dyDescent="0.25">
      <c r="A1259" s="73"/>
      <c r="B1259" s="73"/>
    </row>
    <row r="1260" spans="1:2" x14ac:dyDescent="0.25">
      <c r="A1260" s="73"/>
      <c r="B1260" s="73"/>
    </row>
    <row r="1261" spans="1:2" x14ac:dyDescent="0.25">
      <c r="A1261" s="73"/>
      <c r="B1261" s="73"/>
    </row>
    <row r="1262" spans="1:2" x14ac:dyDescent="0.25">
      <c r="A1262" s="73"/>
      <c r="B1262" s="73"/>
    </row>
    <row r="1263" spans="1:2" x14ac:dyDescent="0.25">
      <c r="A1263" s="73"/>
      <c r="B1263" s="73"/>
    </row>
    <row r="1264" spans="1:2" x14ac:dyDescent="0.25">
      <c r="A1264" s="73"/>
      <c r="B1264" s="73"/>
    </row>
    <row r="1265" spans="1:2" x14ac:dyDescent="0.25">
      <c r="A1265" s="73"/>
      <c r="B1265" s="73"/>
    </row>
    <row r="1266" spans="1:2" x14ac:dyDescent="0.25">
      <c r="A1266" s="73"/>
      <c r="B1266" s="73"/>
    </row>
    <row r="1267" spans="1:2" x14ac:dyDescent="0.25">
      <c r="A1267" s="73"/>
      <c r="B1267" s="73"/>
    </row>
    <row r="1268" spans="1:2" x14ac:dyDescent="0.25">
      <c r="A1268" s="73"/>
      <c r="B1268" s="73"/>
    </row>
    <row r="1269" spans="1:2" x14ac:dyDescent="0.25">
      <c r="A1269" s="73"/>
      <c r="B1269" s="73"/>
    </row>
    <row r="1270" spans="1:2" x14ac:dyDescent="0.25">
      <c r="A1270" s="73"/>
      <c r="B1270" s="73"/>
    </row>
    <row r="1271" spans="1:2" x14ac:dyDescent="0.25">
      <c r="A1271" s="73"/>
      <c r="B1271" s="73"/>
    </row>
    <row r="1272" spans="1:2" x14ac:dyDescent="0.25">
      <c r="A1272" s="73"/>
      <c r="B1272" s="73"/>
    </row>
    <row r="1273" spans="1:2" x14ac:dyDescent="0.25">
      <c r="A1273" s="73"/>
      <c r="B1273" s="73"/>
    </row>
    <row r="1274" spans="1:2" x14ac:dyDescent="0.25">
      <c r="A1274" s="73"/>
      <c r="B1274" s="73"/>
    </row>
    <row r="1275" spans="1:2" x14ac:dyDescent="0.25">
      <c r="A1275" s="73"/>
      <c r="B1275" s="73"/>
    </row>
    <row r="1276" spans="1:2" x14ac:dyDescent="0.25">
      <c r="A1276" s="73"/>
      <c r="B1276" s="73"/>
    </row>
    <row r="1277" spans="1:2" x14ac:dyDescent="0.25">
      <c r="A1277" s="73"/>
      <c r="B1277" s="73"/>
    </row>
    <row r="1278" spans="1:2" x14ac:dyDescent="0.25">
      <c r="A1278" s="73"/>
      <c r="B1278" s="73"/>
    </row>
    <row r="1279" spans="1:2" x14ac:dyDescent="0.25">
      <c r="A1279" s="73"/>
      <c r="B1279" s="73"/>
    </row>
    <row r="1280" spans="1:2" x14ac:dyDescent="0.25">
      <c r="A1280" s="73"/>
      <c r="B1280" s="73"/>
    </row>
    <row r="1281" spans="1:2" x14ac:dyDescent="0.25">
      <c r="A1281" s="73"/>
      <c r="B1281" s="73"/>
    </row>
    <row r="1282" spans="1:2" x14ac:dyDescent="0.25">
      <c r="A1282" s="73"/>
      <c r="B1282" s="73"/>
    </row>
    <row r="1283" spans="1:2" x14ac:dyDescent="0.25">
      <c r="A1283" s="73"/>
      <c r="B1283" s="73"/>
    </row>
    <row r="1284" spans="1:2" x14ac:dyDescent="0.25">
      <c r="A1284" s="73"/>
      <c r="B1284" s="73"/>
    </row>
    <row r="1285" spans="1:2" x14ac:dyDescent="0.25">
      <c r="A1285" s="73"/>
      <c r="B1285" s="73"/>
    </row>
    <row r="1286" spans="1:2" x14ac:dyDescent="0.25">
      <c r="A1286" s="73"/>
      <c r="B1286" s="73"/>
    </row>
    <row r="1287" spans="1:2" x14ac:dyDescent="0.25">
      <c r="A1287" s="73"/>
      <c r="B1287" s="73"/>
    </row>
    <row r="1288" spans="1:2" x14ac:dyDescent="0.25">
      <c r="A1288" s="73"/>
      <c r="B1288" s="73"/>
    </row>
    <row r="1289" spans="1:2" x14ac:dyDescent="0.25">
      <c r="A1289" s="73"/>
      <c r="B1289" s="73"/>
    </row>
    <row r="1290" spans="1:2" x14ac:dyDescent="0.25">
      <c r="A1290" s="73"/>
      <c r="B1290" s="73"/>
    </row>
    <row r="1291" spans="1:2" x14ac:dyDescent="0.25">
      <c r="A1291" s="73"/>
      <c r="B1291" s="73"/>
    </row>
    <row r="1292" spans="1:2" x14ac:dyDescent="0.25">
      <c r="A1292" s="73"/>
      <c r="B1292" s="73"/>
    </row>
    <row r="1293" spans="1:2" x14ac:dyDescent="0.25">
      <c r="A1293" s="73"/>
      <c r="B1293" s="73"/>
    </row>
    <row r="1294" spans="1:2" x14ac:dyDescent="0.25">
      <c r="A1294" s="73"/>
      <c r="B1294" s="73"/>
    </row>
    <row r="1295" spans="1:2" x14ac:dyDescent="0.25">
      <c r="A1295" s="73"/>
      <c r="B1295" s="73"/>
    </row>
    <row r="1296" spans="1:2" x14ac:dyDescent="0.25">
      <c r="A1296" s="73"/>
      <c r="B1296" s="73"/>
    </row>
    <row r="1297" spans="1:2" x14ac:dyDescent="0.25">
      <c r="A1297" s="73"/>
      <c r="B1297" s="73"/>
    </row>
    <row r="1298" spans="1:2" x14ac:dyDescent="0.25">
      <c r="A1298" s="73"/>
      <c r="B1298" s="73"/>
    </row>
    <row r="1299" spans="1:2" x14ac:dyDescent="0.25">
      <c r="A1299" s="73"/>
      <c r="B1299" s="73"/>
    </row>
    <row r="1300" spans="1:2" x14ac:dyDescent="0.25">
      <c r="A1300" s="73"/>
      <c r="B1300" s="73"/>
    </row>
    <row r="1301" spans="1:2" x14ac:dyDescent="0.25">
      <c r="A1301" s="73"/>
      <c r="B1301" s="73"/>
    </row>
    <row r="1302" spans="1:2" x14ac:dyDescent="0.25">
      <c r="A1302" s="73"/>
      <c r="B1302" s="73"/>
    </row>
    <row r="1303" spans="1:2" x14ac:dyDescent="0.25">
      <c r="A1303" s="73"/>
      <c r="B1303" s="73"/>
    </row>
    <row r="1304" spans="1:2" x14ac:dyDescent="0.25">
      <c r="A1304" s="73"/>
      <c r="B1304" s="73"/>
    </row>
    <row r="1305" spans="1:2" x14ac:dyDescent="0.25">
      <c r="A1305" s="73"/>
      <c r="B1305" s="73"/>
    </row>
    <row r="1306" spans="1:2" x14ac:dyDescent="0.25">
      <c r="A1306" s="73"/>
      <c r="B1306" s="73"/>
    </row>
    <row r="1307" spans="1:2" x14ac:dyDescent="0.25">
      <c r="A1307" s="73"/>
      <c r="B1307" s="73"/>
    </row>
    <row r="1308" spans="1:2" x14ac:dyDescent="0.25">
      <c r="A1308" s="73"/>
      <c r="B1308" s="73"/>
    </row>
    <row r="1309" spans="1:2" x14ac:dyDescent="0.25">
      <c r="A1309" s="73"/>
      <c r="B1309" s="73"/>
    </row>
    <row r="1310" spans="1:2" x14ac:dyDescent="0.25">
      <c r="A1310" s="73"/>
      <c r="B1310" s="73"/>
    </row>
    <row r="1311" spans="1:2" x14ac:dyDescent="0.25">
      <c r="A1311" s="73"/>
      <c r="B1311" s="73"/>
    </row>
    <row r="1312" spans="1:2" x14ac:dyDescent="0.25">
      <c r="A1312" s="73"/>
      <c r="B1312" s="73"/>
    </row>
    <row r="1313" spans="1:2" x14ac:dyDescent="0.25">
      <c r="A1313" s="73"/>
      <c r="B1313" s="73"/>
    </row>
    <row r="1314" spans="1:2" x14ac:dyDescent="0.25">
      <c r="A1314" s="73"/>
      <c r="B1314" s="73"/>
    </row>
    <row r="1315" spans="1:2" x14ac:dyDescent="0.25">
      <c r="A1315" s="73"/>
      <c r="B1315" s="73"/>
    </row>
    <row r="1316" spans="1:2" x14ac:dyDescent="0.25">
      <c r="A1316" s="73"/>
      <c r="B1316" s="73"/>
    </row>
    <row r="1317" spans="1:2" x14ac:dyDescent="0.25">
      <c r="A1317" s="73"/>
      <c r="B1317" s="73"/>
    </row>
    <row r="1318" spans="1:2" x14ac:dyDescent="0.25">
      <c r="A1318" s="73"/>
      <c r="B1318" s="73"/>
    </row>
    <row r="1319" spans="1:2" x14ac:dyDescent="0.25">
      <c r="A1319" s="73"/>
      <c r="B1319" s="73"/>
    </row>
    <row r="1320" spans="1:2" x14ac:dyDescent="0.25">
      <c r="A1320" s="73"/>
      <c r="B1320" s="73"/>
    </row>
    <row r="1321" spans="1:2" x14ac:dyDescent="0.25">
      <c r="A1321" s="73"/>
      <c r="B1321" s="73"/>
    </row>
    <row r="1322" spans="1:2" x14ac:dyDescent="0.25">
      <c r="A1322" s="73"/>
      <c r="B1322" s="73"/>
    </row>
    <row r="1323" spans="1:2" x14ac:dyDescent="0.25">
      <c r="A1323" s="73"/>
      <c r="B1323" s="73"/>
    </row>
    <row r="1324" spans="1:2" x14ac:dyDescent="0.25">
      <c r="A1324" s="73"/>
      <c r="B1324" s="73"/>
    </row>
    <row r="1325" spans="1:2" x14ac:dyDescent="0.25">
      <c r="A1325" s="73"/>
      <c r="B1325" s="73"/>
    </row>
    <row r="1326" spans="1:2" x14ac:dyDescent="0.25">
      <c r="A1326" s="73"/>
      <c r="B1326" s="73"/>
    </row>
    <row r="1327" spans="1:2" x14ac:dyDescent="0.25">
      <c r="A1327" s="73"/>
      <c r="B1327" s="73"/>
    </row>
    <row r="1328" spans="1:2" x14ac:dyDescent="0.25">
      <c r="A1328" s="73"/>
      <c r="B1328" s="73"/>
    </row>
    <row r="1329" spans="1:2" x14ac:dyDescent="0.25">
      <c r="A1329" s="73"/>
      <c r="B1329" s="73"/>
    </row>
    <row r="1330" spans="1:2" x14ac:dyDescent="0.25">
      <c r="A1330" s="73"/>
      <c r="B1330" s="73"/>
    </row>
    <row r="1331" spans="1:2" x14ac:dyDescent="0.25">
      <c r="A1331" s="73"/>
      <c r="B1331" s="73"/>
    </row>
    <row r="1332" spans="1:2" x14ac:dyDescent="0.25">
      <c r="A1332" s="73"/>
      <c r="B1332" s="73"/>
    </row>
    <row r="1333" spans="1:2" x14ac:dyDescent="0.25">
      <c r="A1333" s="73"/>
      <c r="B1333" s="73"/>
    </row>
    <row r="1334" spans="1:2" x14ac:dyDescent="0.25">
      <c r="A1334" s="73"/>
      <c r="B1334" s="73"/>
    </row>
    <row r="1335" spans="1:2" x14ac:dyDescent="0.25">
      <c r="A1335" s="73"/>
      <c r="B1335" s="73"/>
    </row>
    <row r="1336" spans="1:2" x14ac:dyDescent="0.25">
      <c r="A1336" s="73"/>
      <c r="B1336" s="73"/>
    </row>
    <row r="1337" spans="1:2" x14ac:dyDescent="0.25">
      <c r="A1337" s="73"/>
      <c r="B1337" s="73"/>
    </row>
    <row r="1338" spans="1:2" x14ac:dyDescent="0.25">
      <c r="A1338" s="73"/>
      <c r="B1338" s="73"/>
    </row>
    <row r="1339" spans="1:2" x14ac:dyDescent="0.25">
      <c r="A1339" s="73"/>
      <c r="B1339" s="73"/>
    </row>
    <row r="1340" spans="1:2" x14ac:dyDescent="0.25">
      <c r="A1340" s="73"/>
      <c r="B1340" s="73"/>
    </row>
    <row r="1341" spans="1:2" x14ac:dyDescent="0.25">
      <c r="A1341" s="73"/>
      <c r="B1341" s="73"/>
    </row>
    <row r="1342" spans="1:2" x14ac:dyDescent="0.25">
      <c r="A1342" s="73"/>
      <c r="B1342" s="73"/>
    </row>
    <row r="1343" spans="1:2" x14ac:dyDescent="0.25">
      <c r="A1343" s="73"/>
      <c r="B1343" s="73"/>
    </row>
    <row r="1344" spans="1:2" x14ac:dyDescent="0.25">
      <c r="A1344" s="73"/>
      <c r="B1344" s="73"/>
    </row>
    <row r="1345" spans="1:2" x14ac:dyDescent="0.25">
      <c r="A1345" s="73"/>
      <c r="B1345" s="73"/>
    </row>
    <row r="1346" spans="1:2" x14ac:dyDescent="0.25">
      <c r="A1346" s="73"/>
      <c r="B1346" s="73"/>
    </row>
    <row r="1347" spans="1:2" x14ac:dyDescent="0.25">
      <c r="A1347" s="73"/>
      <c r="B1347" s="73"/>
    </row>
    <row r="1348" spans="1:2" x14ac:dyDescent="0.25">
      <c r="A1348" s="73"/>
      <c r="B1348" s="73"/>
    </row>
    <row r="1349" spans="1:2" x14ac:dyDescent="0.25">
      <c r="A1349" s="73"/>
      <c r="B1349" s="73"/>
    </row>
    <row r="1350" spans="1:2" x14ac:dyDescent="0.25">
      <c r="A1350" s="73"/>
      <c r="B1350" s="73"/>
    </row>
    <row r="1351" spans="1:2" x14ac:dyDescent="0.25">
      <c r="A1351" s="73"/>
      <c r="B1351" s="73"/>
    </row>
    <row r="1352" spans="1:2" x14ac:dyDescent="0.25">
      <c r="A1352" s="73"/>
      <c r="B1352" s="73"/>
    </row>
    <row r="1353" spans="1:2" x14ac:dyDescent="0.25">
      <c r="A1353" s="73"/>
      <c r="B1353" s="73"/>
    </row>
    <row r="1354" spans="1:2" x14ac:dyDescent="0.25">
      <c r="A1354" s="73"/>
      <c r="B1354" s="73"/>
    </row>
    <row r="1355" spans="1:2" x14ac:dyDescent="0.25">
      <c r="A1355" s="73"/>
      <c r="B1355" s="73"/>
    </row>
    <row r="1356" spans="1:2" x14ac:dyDescent="0.25">
      <c r="A1356" s="73"/>
      <c r="B1356" s="73"/>
    </row>
    <row r="1357" spans="1:2" x14ac:dyDescent="0.25">
      <c r="A1357" s="73"/>
      <c r="B1357" s="73"/>
    </row>
    <row r="1358" spans="1:2" x14ac:dyDescent="0.25">
      <c r="A1358" s="73"/>
      <c r="B1358" s="73"/>
    </row>
    <row r="1359" spans="1:2" x14ac:dyDescent="0.25">
      <c r="A1359" s="73"/>
      <c r="B1359" s="73"/>
    </row>
    <row r="1360" spans="1:2" x14ac:dyDescent="0.25">
      <c r="A1360" s="73"/>
      <c r="B1360" s="73"/>
    </row>
    <row r="1361" spans="1:2" x14ac:dyDescent="0.25">
      <c r="A1361" s="73"/>
      <c r="B1361" s="73"/>
    </row>
    <row r="1362" spans="1:2" x14ac:dyDescent="0.25">
      <c r="A1362" s="73"/>
      <c r="B1362" s="73"/>
    </row>
    <row r="1363" spans="1:2" x14ac:dyDescent="0.25">
      <c r="A1363" s="73"/>
      <c r="B1363" s="73"/>
    </row>
    <row r="1364" spans="1:2" x14ac:dyDescent="0.25">
      <c r="A1364" s="73"/>
      <c r="B1364" s="73"/>
    </row>
    <row r="1365" spans="1:2" x14ac:dyDescent="0.25">
      <c r="A1365" s="73"/>
      <c r="B1365" s="73"/>
    </row>
    <row r="1366" spans="1:2" x14ac:dyDescent="0.25">
      <c r="A1366" s="73"/>
      <c r="B1366" s="73"/>
    </row>
    <row r="1367" spans="1:2" x14ac:dyDescent="0.25">
      <c r="A1367" s="73"/>
      <c r="B1367" s="73"/>
    </row>
    <row r="1368" spans="1:2" x14ac:dyDescent="0.25">
      <c r="A1368" s="73"/>
      <c r="B1368" s="73"/>
    </row>
    <row r="1369" spans="1:2" x14ac:dyDescent="0.25">
      <c r="A1369" s="73"/>
      <c r="B1369" s="73"/>
    </row>
    <row r="1370" spans="1:2" x14ac:dyDescent="0.25">
      <c r="A1370" s="73"/>
      <c r="B1370" s="73"/>
    </row>
    <row r="1371" spans="1:2" x14ac:dyDescent="0.25">
      <c r="A1371" s="73"/>
      <c r="B1371" s="73"/>
    </row>
    <row r="1372" spans="1:2" x14ac:dyDescent="0.25">
      <c r="A1372" s="73"/>
      <c r="B1372" s="73"/>
    </row>
    <row r="1373" spans="1:2" x14ac:dyDescent="0.25">
      <c r="A1373" s="73"/>
      <c r="B1373" s="73"/>
    </row>
    <row r="1374" spans="1:2" x14ac:dyDescent="0.25">
      <c r="A1374" s="73"/>
      <c r="B1374" s="73"/>
    </row>
    <row r="1375" spans="1:2" x14ac:dyDescent="0.25">
      <c r="A1375" s="73"/>
      <c r="B1375" s="73"/>
    </row>
    <row r="1376" spans="1:2" x14ac:dyDescent="0.25">
      <c r="A1376" s="73"/>
      <c r="B1376" s="73"/>
    </row>
    <row r="1377" spans="1:2" x14ac:dyDescent="0.25">
      <c r="A1377" s="73"/>
      <c r="B1377" s="73"/>
    </row>
    <row r="1378" spans="1:2" x14ac:dyDescent="0.25">
      <c r="A1378" s="73"/>
      <c r="B1378" s="73"/>
    </row>
    <row r="1379" spans="1:2" x14ac:dyDescent="0.25">
      <c r="A1379" s="73"/>
      <c r="B1379" s="73"/>
    </row>
    <row r="1380" spans="1:2" x14ac:dyDescent="0.25">
      <c r="A1380" s="73"/>
      <c r="B1380" s="73"/>
    </row>
    <row r="1381" spans="1:2" x14ac:dyDescent="0.25">
      <c r="A1381" s="73"/>
      <c r="B1381" s="73"/>
    </row>
    <row r="1382" spans="1:2" x14ac:dyDescent="0.25">
      <c r="A1382" s="73"/>
      <c r="B1382" s="73"/>
    </row>
    <row r="1383" spans="1:2" x14ac:dyDescent="0.25">
      <c r="A1383" s="73"/>
      <c r="B1383" s="73"/>
    </row>
    <row r="1384" spans="1:2" x14ac:dyDescent="0.25">
      <c r="A1384" s="73"/>
      <c r="B1384" s="73"/>
    </row>
    <row r="1385" spans="1:2" x14ac:dyDescent="0.25">
      <c r="A1385" s="73"/>
      <c r="B1385" s="73"/>
    </row>
    <row r="1386" spans="1:2" x14ac:dyDescent="0.25">
      <c r="A1386" s="73"/>
      <c r="B1386" s="73"/>
    </row>
    <row r="1387" spans="1:2" x14ac:dyDescent="0.25">
      <c r="A1387" s="73"/>
      <c r="B1387" s="73"/>
    </row>
    <row r="1388" spans="1:2" x14ac:dyDescent="0.25">
      <c r="A1388" s="73"/>
      <c r="B1388" s="73"/>
    </row>
    <row r="1389" spans="1:2" x14ac:dyDescent="0.25">
      <c r="A1389" s="73"/>
      <c r="B1389" s="73"/>
    </row>
    <row r="1390" spans="1:2" x14ac:dyDescent="0.25">
      <c r="A1390" s="73"/>
      <c r="B1390" s="73"/>
    </row>
    <row r="1391" spans="1:2" x14ac:dyDescent="0.25">
      <c r="A1391" s="73"/>
      <c r="B1391" s="73"/>
    </row>
    <row r="1392" spans="1:2" x14ac:dyDescent="0.25">
      <c r="A1392" s="73"/>
      <c r="B1392" s="73"/>
    </row>
    <row r="1393" spans="1:2" x14ac:dyDescent="0.25">
      <c r="A1393" s="73"/>
      <c r="B1393" s="73"/>
    </row>
    <row r="1394" spans="1:2" x14ac:dyDescent="0.25">
      <c r="A1394" s="73"/>
      <c r="B1394" s="73"/>
    </row>
    <row r="1395" spans="1:2" x14ac:dyDescent="0.25">
      <c r="A1395" s="73"/>
      <c r="B1395" s="73"/>
    </row>
    <row r="1396" spans="1:2" x14ac:dyDescent="0.25">
      <c r="A1396" s="73"/>
      <c r="B1396" s="73"/>
    </row>
    <row r="1397" spans="1:2" x14ac:dyDescent="0.25">
      <c r="A1397" s="73"/>
      <c r="B1397" s="73"/>
    </row>
    <row r="1398" spans="1:2" x14ac:dyDescent="0.25">
      <c r="A1398" s="73"/>
      <c r="B1398" s="73"/>
    </row>
    <row r="1399" spans="1:2" x14ac:dyDescent="0.25">
      <c r="A1399" s="73"/>
      <c r="B1399" s="73"/>
    </row>
    <row r="1400" spans="1:2" x14ac:dyDescent="0.25">
      <c r="A1400" s="73"/>
      <c r="B1400" s="73"/>
    </row>
    <row r="1401" spans="1:2" x14ac:dyDescent="0.25">
      <c r="A1401" s="73"/>
      <c r="B1401" s="73"/>
    </row>
    <row r="1402" spans="1:2" x14ac:dyDescent="0.25">
      <c r="A1402" s="73"/>
      <c r="B1402" s="73"/>
    </row>
    <row r="1403" spans="1:2" x14ac:dyDescent="0.25">
      <c r="A1403" s="73"/>
      <c r="B1403" s="73"/>
    </row>
    <row r="1404" spans="1:2" x14ac:dyDescent="0.25">
      <c r="A1404" s="73"/>
      <c r="B1404" s="73"/>
    </row>
    <row r="1405" spans="1:2" x14ac:dyDescent="0.25">
      <c r="A1405" s="73"/>
      <c r="B1405" s="73"/>
    </row>
    <row r="1406" spans="1:2" x14ac:dyDescent="0.25">
      <c r="A1406" s="73"/>
      <c r="B1406" s="73"/>
    </row>
    <row r="1407" spans="1:2" x14ac:dyDescent="0.25">
      <c r="A1407" s="73"/>
      <c r="B1407" s="73"/>
    </row>
    <row r="1408" spans="1:2" x14ac:dyDescent="0.25">
      <c r="A1408" s="73"/>
      <c r="B1408" s="73"/>
    </row>
    <row r="1409" spans="1:2" x14ac:dyDescent="0.25">
      <c r="A1409" s="73"/>
      <c r="B1409" s="73"/>
    </row>
    <row r="1410" spans="1:2" x14ac:dyDescent="0.25">
      <c r="A1410" s="73"/>
      <c r="B1410" s="73"/>
    </row>
    <row r="1411" spans="1:2" x14ac:dyDescent="0.25">
      <c r="A1411" s="73"/>
      <c r="B1411" s="73"/>
    </row>
    <row r="1412" spans="1:2" x14ac:dyDescent="0.25">
      <c r="A1412" s="73"/>
      <c r="B1412" s="73"/>
    </row>
    <row r="1413" spans="1:2" x14ac:dyDescent="0.25">
      <c r="A1413" s="73"/>
      <c r="B1413" s="73"/>
    </row>
    <row r="1414" spans="1:2" x14ac:dyDescent="0.25">
      <c r="A1414" s="73"/>
      <c r="B1414" s="73"/>
    </row>
    <row r="1415" spans="1:2" x14ac:dyDescent="0.25">
      <c r="A1415" s="73"/>
      <c r="B1415" s="73"/>
    </row>
    <row r="1416" spans="1:2" x14ac:dyDescent="0.25">
      <c r="A1416" s="73"/>
      <c r="B1416" s="73"/>
    </row>
    <row r="1417" spans="1:2" x14ac:dyDescent="0.25">
      <c r="A1417" s="73"/>
      <c r="B1417" s="73"/>
    </row>
    <row r="1418" spans="1:2" x14ac:dyDescent="0.25">
      <c r="A1418" s="73"/>
      <c r="B1418" s="73"/>
    </row>
    <row r="1419" spans="1:2" x14ac:dyDescent="0.25">
      <c r="A1419" s="73"/>
      <c r="B1419" s="73"/>
    </row>
    <row r="1420" spans="1:2" x14ac:dyDescent="0.25">
      <c r="A1420" s="73"/>
      <c r="B1420" s="73"/>
    </row>
    <row r="1421" spans="1:2" x14ac:dyDescent="0.25">
      <c r="A1421" s="73"/>
      <c r="B1421" s="73"/>
    </row>
    <row r="1422" spans="1:2" x14ac:dyDescent="0.25">
      <c r="A1422" s="73"/>
      <c r="B1422" s="73"/>
    </row>
    <row r="1423" spans="1:2" x14ac:dyDescent="0.25">
      <c r="A1423" s="73"/>
      <c r="B1423" s="73"/>
    </row>
    <row r="1424" spans="1:2" x14ac:dyDescent="0.25">
      <c r="A1424" s="73"/>
      <c r="B1424" s="73"/>
    </row>
    <row r="1425" spans="1:2" x14ac:dyDescent="0.25">
      <c r="A1425" s="73"/>
      <c r="B1425" s="73"/>
    </row>
    <row r="1426" spans="1:2" x14ac:dyDescent="0.25">
      <c r="A1426" s="73"/>
      <c r="B1426" s="73"/>
    </row>
    <row r="1427" spans="1:2" x14ac:dyDescent="0.25">
      <c r="A1427" s="73"/>
      <c r="B1427" s="73"/>
    </row>
    <row r="1428" spans="1:2" x14ac:dyDescent="0.25">
      <c r="A1428" s="73"/>
      <c r="B1428" s="73"/>
    </row>
    <row r="1429" spans="1:2" x14ac:dyDescent="0.25">
      <c r="A1429" s="73"/>
      <c r="B1429" s="73"/>
    </row>
    <row r="1430" spans="1:2" x14ac:dyDescent="0.25">
      <c r="A1430" s="73"/>
      <c r="B1430" s="73"/>
    </row>
    <row r="1431" spans="1:2" x14ac:dyDescent="0.25">
      <c r="A1431" s="73"/>
      <c r="B1431" s="73"/>
    </row>
    <row r="1432" spans="1:2" x14ac:dyDescent="0.25">
      <c r="A1432" s="73"/>
      <c r="B1432" s="73"/>
    </row>
    <row r="1433" spans="1:2" x14ac:dyDescent="0.25">
      <c r="A1433" s="73"/>
      <c r="B1433" s="73"/>
    </row>
    <row r="1434" spans="1:2" x14ac:dyDescent="0.25">
      <c r="A1434" s="73"/>
      <c r="B1434" s="73"/>
    </row>
    <row r="1435" spans="1:2" x14ac:dyDescent="0.25">
      <c r="A1435" s="73"/>
      <c r="B1435" s="73"/>
    </row>
    <row r="1436" spans="1:2" x14ac:dyDescent="0.25">
      <c r="A1436" s="73"/>
      <c r="B1436" s="73"/>
    </row>
    <row r="1437" spans="1:2" x14ac:dyDescent="0.25">
      <c r="A1437" s="73"/>
      <c r="B1437" s="73"/>
    </row>
    <row r="1438" spans="1:2" x14ac:dyDescent="0.25">
      <c r="A1438" s="73"/>
      <c r="B1438" s="73"/>
    </row>
    <row r="1439" spans="1:2" x14ac:dyDescent="0.25">
      <c r="A1439" s="73"/>
      <c r="B1439" s="73"/>
    </row>
    <row r="1440" spans="1:2" x14ac:dyDescent="0.25">
      <c r="A1440" s="73"/>
      <c r="B1440" s="73"/>
    </row>
    <row r="1441" spans="1:2" x14ac:dyDescent="0.25">
      <c r="A1441" s="73"/>
      <c r="B1441" s="73"/>
    </row>
    <row r="1442" spans="1:2" x14ac:dyDescent="0.25">
      <c r="A1442" s="73"/>
      <c r="B1442" s="73"/>
    </row>
    <row r="1443" spans="1:2" x14ac:dyDescent="0.25">
      <c r="A1443" s="73"/>
      <c r="B1443" s="73"/>
    </row>
    <row r="1444" spans="1:2" x14ac:dyDescent="0.25">
      <c r="A1444" s="73"/>
      <c r="B1444" s="73"/>
    </row>
    <row r="1445" spans="1:2" x14ac:dyDescent="0.25">
      <c r="A1445" s="73"/>
      <c r="B1445" s="73"/>
    </row>
    <row r="1446" spans="1:2" x14ac:dyDescent="0.25">
      <c r="A1446" s="73"/>
      <c r="B1446" s="73"/>
    </row>
    <row r="1447" spans="1:2" x14ac:dyDescent="0.25">
      <c r="A1447" s="73"/>
      <c r="B1447" s="73"/>
    </row>
    <row r="1448" spans="1:2" x14ac:dyDescent="0.25">
      <c r="A1448" s="73"/>
      <c r="B1448" s="73"/>
    </row>
    <row r="1449" spans="1:2" x14ac:dyDescent="0.25">
      <c r="A1449" s="73"/>
      <c r="B1449" s="73"/>
    </row>
    <row r="1450" spans="1:2" x14ac:dyDescent="0.25">
      <c r="A1450" s="73"/>
      <c r="B1450" s="73"/>
    </row>
    <row r="1451" spans="1:2" x14ac:dyDescent="0.25">
      <c r="A1451" s="73"/>
      <c r="B1451" s="73"/>
    </row>
    <row r="1452" spans="1:2" x14ac:dyDescent="0.25">
      <c r="A1452" s="73"/>
      <c r="B1452" s="73"/>
    </row>
    <row r="1453" spans="1:2" x14ac:dyDescent="0.25">
      <c r="A1453" s="73"/>
      <c r="B1453" s="73"/>
    </row>
    <row r="1454" spans="1:2" x14ac:dyDescent="0.25">
      <c r="A1454" s="73"/>
      <c r="B1454" s="73"/>
    </row>
    <row r="1455" spans="1:2" x14ac:dyDescent="0.25">
      <c r="A1455" s="73"/>
      <c r="B1455" s="73"/>
    </row>
    <row r="1456" spans="1:2" x14ac:dyDescent="0.25">
      <c r="A1456" s="73"/>
      <c r="B1456" s="73"/>
    </row>
    <row r="1457" spans="1:2" x14ac:dyDescent="0.25">
      <c r="A1457" s="73"/>
      <c r="B1457" s="73"/>
    </row>
    <row r="1458" spans="1:2" x14ac:dyDescent="0.25">
      <c r="A1458" s="73"/>
      <c r="B1458" s="73"/>
    </row>
    <row r="1459" spans="1:2" x14ac:dyDescent="0.25">
      <c r="A1459" s="73"/>
      <c r="B1459" s="73"/>
    </row>
    <row r="1460" spans="1:2" x14ac:dyDescent="0.25">
      <c r="A1460" s="73"/>
      <c r="B1460" s="73"/>
    </row>
    <row r="1461" spans="1:2" x14ac:dyDescent="0.25">
      <c r="A1461" s="73"/>
      <c r="B1461" s="73"/>
    </row>
    <row r="1462" spans="1:2" x14ac:dyDescent="0.25">
      <c r="A1462" s="73"/>
      <c r="B1462" s="73"/>
    </row>
    <row r="1463" spans="1:2" x14ac:dyDescent="0.25">
      <c r="A1463" s="73"/>
      <c r="B1463" s="73"/>
    </row>
    <row r="1464" spans="1:2" x14ac:dyDescent="0.25">
      <c r="A1464" s="73"/>
      <c r="B1464" s="73"/>
    </row>
    <row r="1465" spans="1:2" x14ac:dyDescent="0.25">
      <c r="A1465" s="73"/>
      <c r="B1465" s="73"/>
    </row>
    <row r="1466" spans="1:2" x14ac:dyDescent="0.25">
      <c r="A1466" s="73"/>
      <c r="B1466" s="73"/>
    </row>
    <row r="1467" spans="1:2" x14ac:dyDescent="0.25">
      <c r="A1467" s="73"/>
      <c r="B1467" s="73"/>
    </row>
    <row r="1468" spans="1:2" x14ac:dyDescent="0.25">
      <c r="A1468" s="73"/>
      <c r="B1468" s="73"/>
    </row>
    <row r="1469" spans="1:2" x14ac:dyDescent="0.25">
      <c r="A1469" s="73"/>
      <c r="B1469" s="73"/>
    </row>
    <row r="1470" spans="1:2" x14ac:dyDescent="0.25">
      <c r="A1470" s="73"/>
      <c r="B1470" s="73"/>
    </row>
    <row r="1471" spans="1:2" x14ac:dyDescent="0.25">
      <c r="A1471" s="73"/>
      <c r="B1471" s="73"/>
    </row>
    <row r="1472" spans="1:2" x14ac:dyDescent="0.25">
      <c r="A1472" s="73"/>
      <c r="B1472" s="73"/>
    </row>
    <row r="1473" spans="1:2" x14ac:dyDescent="0.25">
      <c r="A1473" s="73"/>
      <c r="B1473" s="73"/>
    </row>
    <row r="1474" spans="1:2" x14ac:dyDescent="0.25">
      <c r="A1474" s="73"/>
      <c r="B1474" s="73"/>
    </row>
    <row r="1475" spans="1:2" x14ac:dyDescent="0.25">
      <c r="A1475" s="73"/>
      <c r="B1475" s="73"/>
    </row>
    <row r="1476" spans="1:2" x14ac:dyDescent="0.25">
      <c r="A1476" s="73"/>
      <c r="B1476" s="73"/>
    </row>
    <row r="1477" spans="1:2" x14ac:dyDescent="0.25">
      <c r="A1477" s="73"/>
      <c r="B1477" s="73"/>
    </row>
    <row r="1478" spans="1:2" x14ac:dyDescent="0.25">
      <c r="A1478" s="73"/>
      <c r="B1478" s="73"/>
    </row>
    <row r="1479" spans="1:2" x14ac:dyDescent="0.25">
      <c r="A1479" s="73"/>
      <c r="B1479" s="73"/>
    </row>
    <row r="1480" spans="1:2" x14ac:dyDescent="0.25">
      <c r="A1480" s="73"/>
      <c r="B1480" s="73"/>
    </row>
    <row r="1481" spans="1:2" x14ac:dyDescent="0.25">
      <c r="A1481" s="73"/>
      <c r="B1481" s="73"/>
    </row>
    <row r="1482" spans="1:2" x14ac:dyDescent="0.25">
      <c r="A1482" s="73"/>
      <c r="B1482" s="73"/>
    </row>
    <row r="1483" spans="1:2" x14ac:dyDescent="0.25">
      <c r="A1483" s="73"/>
      <c r="B1483" s="73"/>
    </row>
    <row r="1484" spans="1:2" x14ac:dyDescent="0.25">
      <c r="A1484" s="73"/>
      <c r="B1484" s="73"/>
    </row>
    <row r="1485" spans="1:2" x14ac:dyDescent="0.25">
      <c r="A1485" s="73"/>
      <c r="B1485" s="73"/>
    </row>
    <row r="1486" spans="1:2" x14ac:dyDescent="0.25">
      <c r="A1486" s="73"/>
      <c r="B1486" s="73"/>
    </row>
    <row r="1487" spans="1:2" x14ac:dyDescent="0.25">
      <c r="A1487" s="73"/>
      <c r="B1487" s="73"/>
    </row>
    <row r="1488" spans="1:2" x14ac:dyDescent="0.25">
      <c r="A1488" s="73"/>
      <c r="B1488" s="73"/>
    </row>
    <row r="1489" spans="1:2" x14ac:dyDescent="0.25">
      <c r="A1489" s="73"/>
      <c r="B1489" s="73"/>
    </row>
    <row r="1490" spans="1:2" x14ac:dyDescent="0.25">
      <c r="A1490" s="73"/>
      <c r="B1490" s="73"/>
    </row>
    <row r="1491" spans="1:2" x14ac:dyDescent="0.25">
      <c r="A1491" s="73"/>
      <c r="B1491" s="73"/>
    </row>
    <row r="1492" spans="1:2" x14ac:dyDescent="0.25">
      <c r="A1492" s="73"/>
      <c r="B1492" s="73"/>
    </row>
    <row r="1493" spans="1:2" x14ac:dyDescent="0.25">
      <c r="A1493" s="73"/>
      <c r="B1493" s="73"/>
    </row>
    <row r="1494" spans="1:2" x14ac:dyDescent="0.25">
      <c r="A1494" s="73"/>
      <c r="B1494" s="73"/>
    </row>
    <row r="1495" spans="1:2" x14ac:dyDescent="0.25">
      <c r="A1495" s="73"/>
      <c r="B1495" s="73"/>
    </row>
    <row r="1496" spans="1:2" x14ac:dyDescent="0.25">
      <c r="A1496" s="73"/>
      <c r="B1496" s="73"/>
    </row>
    <row r="1497" spans="1:2" x14ac:dyDescent="0.25">
      <c r="A1497" s="73"/>
      <c r="B1497" s="73"/>
    </row>
    <row r="1498" spans="1:2" x14ac:dyDescent="0.25">
      <c r="A1498" s="73"/>
      <c r="B1498" s="73"/>
    </row>
    <row r="1499" spans="1:2" x14ac:dyDescent="0.25">
      <c r="A1499" s="73"/>
      <c r="B1499" s="73"/>
    </row>
    <row r="1500" spans="1:2" x14ac:dyDescent="0.25">
      <c r="A1500" s="73"/>
      <c r="B1500" s="73"/>
    </row>
    <row r="1501" spans="1:2" x14ac:dyDescent="0.25">
      <c r="A1501" s="73"/>
      <c r="B1501" s="73"/>
    </row>
    <row r="1502" spans="1:2" x14ac:dyDescent="0.25">
      <c r="A1502" s="73"/>
      <c r="B1502" s="73"/>
    </row>
    <row r="1503" spans="1:2" x14ac:dyDescent="0.25">
      <c r="A1503" s="73"/>
      <c r="B1503" s="73"/>
    </row>
    <row r="1504" spans="1:2" x14ac:dyDescent="0.25">
      <c r="A1504" s="73"/>
      <c r="B1504" s="73"/>
    </row>
    <row r="1505" spans="1:2" x14ac:dyDescent="0.25">
      <c r="A1505" s="73"/>
      <c r="B1505" s="73"/>
    </row>
    <row r="1506" spans="1:2" x14ac:dyDescent="0.25">
      <c r="A1506" s="73"/>
      <c r="B1506" s="73"/>
    </row>
    <row r="1507" spans="1:2" x14ac:dyDescent="0.25">
      <c r="A1507" s="73"/>
      <c r="B1507" s="73"/>
    </row>
    <row r="1508" spans="1:2" x14ac:dyDescent="0.25">
      <c r="A1508" s="73"/>
      <c r="B1508" s="73"/>
    </row>
    <row r="1509" spans="1:2" x14ac:dyDescent="0.25">
      <c r="A1509" s="73"/>
      <c r="B1509" s="73"/>
    </row>
    <row r="1510" spans="1:2" x14ac:dyDescent="0.25">
      <c r="A1510" s="73"/>
      <c r="B1510" s="73"/>
    </row>
    <row r="1511" spans="1:2" x14ac:dyDescent="0.25">
      <c r="A1511" s="73"/>
      <c r="B1511" s="73"/>
    </row>
    <row r="1512" spans="1:2" x14ac:dyDescent="0.25">
      <c r="A1512" s="73"/>
      <c r="B1512" s="73"/>
    </row>
    <row r="1513" spans="1:2" x14ac:dyDescent="0.25">
      <c r="A1513" s="73"/>
      <c r="B1513" s="73"/>
    </row>
    <row r="1514" spans="1:2" x14ac:dyDescent="0.25">
      <c r="A1514" s="73"/>
      <c r="B1514" s="73"/>
    </row>
    <row r="1515" spans="1:2" x14ac:dyDescent="0.25">
      <c r="A1515" s="73"/>
      <c r="B1515" s="73"/>
    </row>
    <row r="1516" spans="1:2" x14ac:dyDescent="0.25">
      <c r="A1516" s="73"/>
      <c r="B1516" s="73"/>
    </row>
    <row r="1517" spans="1:2" x14ac:dyDescent="0.25">
      <c r="A1517" s="73"/>
      <c r="B1517" s="73"/>
    </row>
    <row r="1518" spans="1:2" x14ac:dyDescent="0.25">
      <c r="A1518" s="73"/>
      <c r="B1518" s="73"/>
    </row>
    <row r="1519" spans="1:2" x14ac:dyDescent="0.25">
      <c r="A1519" s="73"/>
      <c r="B1519" s="73"/>
    </row>
    <row r="1520" spans="1:2" x14ac:dyDescent="0.25">
      <c r="A1520" s="73"/>
      <c r="B1520" s="73"/>
    </row>
    <row r="1521" spans="1:2" x14ac:dyDescent="0.25">
      <c r="A1521" s="73"/>
      <c r="B1521" s="73"/>
    </row>
    <row r="1522" spans="1:2" x14ac:dyDescent="0.25">
      <c r="A1522" s="73"/>
      <c r="B1522" s="73"/>
    </row>
    <row r="1523" spans="1:2" x14ac:dyDescent="0.25">
      <c r="A1523" s="73"/>
      <c r="B1523" s="73"/>
    </row>
    <row r="1524" spans="1:2" x14ac:dyDescent="0.25">
      <c r="A1524" s="73"/>
      <c r="B1524" s="73"/>
    </row>
    <row r="1525" spans="1:2" x14ac:dyDescent="0.25">
      <c r="A1525" s="73"/>
      <c r="B1525" s="73"/>
    </row>
    <row r="1526" spans="1:2" x14ac:dyDescent="0.25">
      <c r="A1526" s="73"/>
      <c r="B1526" s="73"/>
    </row>
    <row r="1527" spans="1:2" x14ac:dyDescent="0.25">
      <c r="A1527" s="73"/>
      <c r="B1527" s="73"/>
    </row>
    <row r="1528" spans="1:2" x14ac:dyDescent="0.25">
      <c r="A1528" s="73"/>
      <c r="B1528" s="73"/>
    </row>
    <row r="1529" spans="1:2" x14ac:dyDescent="0.25">
      <c r="A1529" s="73"/>
      <c r="B1529" s="73"/>
    </row>
    <row r="1530" spans="1:2" x14ac:dyDescent="0.25">
      <c r="A1530" s="73"/>
      <c r="B1530" s="73"/>
    </row>
    <row r="1531" spans="1:2" x14ac:dyDescent="0.25">
      <c r="A1531" s="73"/>
      <c r="B1531" s="73"/>
    </row>
    <row r="1532" spans="1:2" x14ac:dyDescent="0.25">
      <c r="A1532" s="73"/>
      <c r="B1532" s="73"/>
    </row>
    <row r="1533" spans="1:2" x14ac:dyDescent="0.25">
      <c r="A1533" s="73"/>
      <c r="B1533" s="73"/>
    </row>
    <row r="1534" spans="1:2" x14ac:dyDescent="0.25">
      <c r="A1534" s="73"/>
      <c r="B1534" s="73"/>
    </row>
    <row r="1535" spans="1:2" x14ac:dyDescent="0.25">
      <c r="A1535" s="73"/>
      <c r="B1535" s="73"/>
    </row>
    <row r="1536" spans="1:2" x14ac:dyDescent="0.25">
      <c r="A1536" s="73"/>
      <c r="B1536" s="73"/>
    </row>
    <row r="1537" spans="1:2" x14ac:dyDescent="0.25">
      <c r="A1537" s="73"/>
      <c r="B1537" s="73"/>
    </row>
    <row r="1538" spans="1:2" x14ac:dyDescent="0.25">
      <c r="A1538" s="73"/>
      <c r="B1538" s="73"/>
    </row>
    <row r="1539" spans="1:2" x14ac:dyDescent="0.25">
      <c r="A1539" s="73"/>
      <c r="B1539" s="73"/>
    </row>
    <row r="1540" spans="1:2" x14ac:dyDescent="0.25">
      <c r="A1540" s="73"/>
      <c r="B1540" s="73"/>
    </row>
    <row r="1541" spans="1:2" x14ac:dyDescent="0.25">
      <c r="A1541" s="73"/>
      <c r="B1541" s="73"/>
    </row>
    <row r="1542" spans="1:2" x14ac:dyDescent="0.25">
      <c r="A1542" s="73"/>
      <c r="B1542" s="73"/>
    </row>
    <row r="1543" spans="1:2" x14ac:dyDescent="0.25">
      <c r="A1543" s="73"/>
      <c r="B1543" s="73"/>
    </row>
    <row r="1544" spans="1:2" x14ac:dyDescent="0.25">
      <c r="A1544" s="73"/>
      <c r="B1544" s="73"/>
    </row>
    <row r="1545" spans="1:2" x14ac:dyDescent="0.25">
      <c r="A1545" s="73"/>
      <c r="B1545" s="73"/>
    </row>
    <row r="1546" spans="1:2" x14ac:dyDescent="0.25">
      <c r="A1546" s="73"/>
      <c r="B1546" s="73"/>
    </row>
    <row r="1547" spans="1:2" x14ac:dyDescent="0.25">
      <c r="A1547" s="73"/>
      <c r="B1547" s="73"/>
    </row>
    <row r="1548" spans="1:2" x14ac:dyDescent="0.25">
      <c r="A1548" s="73"/>
      <c r="B1548" s="73"/>
    </row>
    <row r="1549" spans="1:2" x14ac:dyDescent="0.25">
      <c r="A1549" s="73"/>
      <c r="B1549" s="73"/>
    </row>
    <row r="1550" spans="1:2" x14ac:dyDescent="0.25">
      <c r="A1550" s="73"/>
      <c r="B1550" s="73"/>
    </row>
    <row r="1551" spans="1:2" x14ac:dyDescent="0.25">
      <c r="A1551" s="73"/>
      <c r="B1551" s="73"/>
    </row>
    <row r="1552" spans="1:2" x14ac:dyDescent="0.25">
      <c r="A1552" s="73"/>
      <c r="B1552" s="73"/>
    </row>
    <row r="1553" spans="1:2" x14ac:dyDescent="0.25">
      <c r="A1553" s="73"/>
      <c r="B1553" s="73"/>
    </row>
    <row r="1554" spans="1:2" x14ac:dyDescent="0.25">
      <c r="A1554" s="73"/>
      <c r="B1554" s="73"/>
    </row>
    <row r="1555" spans="1:2" x14ac:dyDescent="0.25">
      <c r="A1555" s="73"/>
      <c r="B1555" s="73"/>
    </row>
    <row r="1556" spans="1:2" x14ac:dyDescent="0.25">
      <c r="A1556" s="73"/>
      <c r="B1556" s="73"/>
    </row>
    <row r="1557" spans="1:2" x14ac:dyDescent="0.25">
      <c r="A1557" s="73"/>
      <c r="B1557" s="73"/>
    </row>
    <row r="1558" spans="1:2" x14ac:dyDescent="0.25">
      <c r="A1558" s="73"/>
      <c r="B1558" s="73"/>
    </row>
    <row r="1559" spans="1:2" x14ac:dyDescent="0.25">
      <c r="A1559" s="73"/>
      <c r="B1559" s="73"/>
    </row>
    <row r="1560" spans="1:2" x14ac:dyDescent="0.25">
      <c r="A1560" s="73"/>
      <c r="B1560" s="73"/>
    </row>
    <row r="1561" spans="1:2" x14ac:dyDescent="0.25">
      <c r="A1561" s="73"/>
      <c r="B1561" s="73"/>
    </row>
    <row r="1562" spans="1:2" x14ac:dyDescent="0.25">
      <c r="A1562" s="73"/>
      <c r="B1562" s="73"/>
    </row>
    <row r="1563" spans="1:2" x14ac:dyDescent="0.25">
      <c r="A1563" s="73"/>
      <c r="B1563" s="73"/>
    </row>
    <row r="1564" spans="1:2" x14ac:dyDescent="0.25">
      <c r="A1564" s="73"/>
      <c r="B1564" s="73"/>
    </row>
    <row r="1565" spans="1:2" x14ac:dyDescent="0.25">
      <c r="A1565" s="73"/>
      <c r="B1565" s="73"/>
    </row>
    <row r="1566" spans="1:2" x14ac:dyDescent="0.25">
      <c r="A1566" s="73"/>
      <c r="B1566" s="73"/>
    </row>
    <row r="1567" spans="1:2" x14ac:dyDescent="0.25">
      <c r="A1567" s="73"/>
      <c r="B1567" s="73"/>
    </row>
    <row r="1568" spans="1:2" x14ac:dyDescent="0.25">
      <c r="A1568" s="73"/>
      <c r="B1568" s="73"/>
    </row>
    <row r="1569" spans="1:2" x14ac:dyDescent="0.25">
      <c r="A1569" s="73"/>
      <c r="B1569" s="73"/>
    </row>
    <row r="1570" spans="1:2" x14ac:dyDescent="0.25">
      <c r="A1570" s="73"/>
      <c r="B1570" s="73"/>
    </row>
    <row r="1571" spans="1:2" x14ac:dyDescent="0.25">
      <c r="A1571" s="73"/>
      <c r="B1571" s="73"/>
    </row>
    <row r="1572" spans="1:2" x14ac:dyDescent="0.25">
      <c r="A1572" s="73"/>
      <c r="B1572" s="73"/>
    </row>
    <row r="1573" spans="1:2" x14ac:dyDescent="0.25">
      <c r="A1573" s="73"/>
      <c r="B1573" s="73"/>
    </row>
    <row r="1574" spans="1:2" x14ac:dyDescent="0.25">
      <c r="A1574" s="73"/>
      <c r="B1574" s="73"/>
    </row>
    <row r="1575" spans="1:2" x14ac:dyDescent="0.25">
      <c r="A1575" s="73"/>
      <c r="B1575" s="73"/>
    </row>
    <row r="1576" spans="1:2" x14ac:dyDescent="0.25">
      <c r="A1576" s="73"/>
      <c r="B1576" s="73"/>
    </row>
    <row r="1577" spans="1:2" x14ac:dyDescent="0.25">
      <c r="A1577" s="73"/>
      <c r="B1577" s="73"/>
    </row>
    <row r="1578" spans="1:2" x14ac:dyDescent="0.25">
      <c r="A1578" s="73"/>
      <c r="B1578" s="73"/>
    </row>
    <row r="1579" spans="1:2" x14ac:dyDescent="0.25">
      <c r="A1579" s="73"/>
      <c r="B1579" s="73"/>
    </row>
    <row r="1580" spans="1:2" x14ac:dyDescent="0.25">
      <c r="A1580" s="73"/>
      <c r="B1580" s="73"/>
    </row>
    <row r="1581" spans="1:2" x14ac:dyDescent="0.25">
      <c r="A1581" s="73"/>
      <c r="B1581" s="73"/>
    </row>
    <row r="1582" spans="1:2" x14ac:dyDescent="0.25">
      <c r="A1582" s="73"/>
      <c r="B1582" s="73"/>
    </row>
    <row r="1583" spans="1:2" x14ac:dyDescent="0.25">
      <c r="A1583" s="73"/>
      <c r="B1583" s="73"/>
    </row>
    <row r="1584" spans="1:2" x14ac:dyDescent="0.25">
      <c r="A1584" s="73"/>
      <c r="B1584" s="73"/>
    </row>
    <row r="1585" spans="1:2" x14ac:dyDescent="0.25">
      <c r="A1585" s="73"/>
      <c r="B1585" s="73"/>
    </row>
    <row r="1586" spans="1:2" x14ac:dyDescent="0.25">
      <c r="A1586" s="73"/>
      <c r="B1586" s="73"/>
    </row>
    <row r="1587" spans="1:2" x14ac:dyDescent="0.25">
      <c r="A1587" s="73"/>
      <c r="B1587" s="73"/>
    </row>
    <row r="1588" spans="1:2" x14ac:dyDescent="0.25">
      <c r="A1588" s="73"/>
      <c r="B1588" s="73"/>
    </row>
    <row r="1589" spans="1:2" x14ac:dyDescent="0.25">
      <c r="A1589" s="73"/>
      <c r="B1589" s="73"/>
    </row>
    <row r="1590" spans="1:2" x14ac:dyDescent="0.25">
      <c r="A1590" s="73"/>
      <c r="B1590" s="73"/>
    </row>
    <row r="1591" spans="1:2" x14ac:dyDescent="0.25">
      <c r="A1591" s="73"/>
      <c r="B1591" s="73"/>
    </row>
    <row r="1592" spans="1:2" x14ac:dyDescent="0.25">
      <c r="A1592" s="73"/>
      <c r="B1592" s="73"/>
    </row>
    <row r="1593" spans="1:2" x14ac:dyDescent="0.25">
      <c r="A1593" s="73"/>
      <c r="B1593" s="73"/>
    </row>
    <row r="1594" spans="1:2" x14ac:dyDescent="0.25">
      <c r="A1594" s="73"/>
      <c r="B1594" s="73"/>
    </row>
    <row r="1595" spans="1:2" x14ac:dyDescent="0.25">
      <c r="A1595" s="73"/>
      <c r="B1595" s="73"/>
    </row>
    <row r="1596" spans="1:2" x14ac:dyDescent="0.25">
      <c r="A1596" s="73"/>
      <c r="B1596" s="73"/>
    </row>
    <row r="1597" spans="1:2" x14ac:dyDescent="0.25">
      <c r="A1597" s="73"/>
      <c r="B1597" s="73"/>
    </row>
    <row r="1598" spans="1:2" x14ac:dyDescent="0.25">
      <c r="A1598" s="73"/>
      <c r="B1598" s="73"/>
    </row>
    <row r="1599" spans="1:2" x14ac:dyDescent="0.25">
      <c r="A1599" s="73"/>
      <c r="B1599" s="73"/>
    </row>
    <row r="1600" spans="1:2" x14ac:dyDescent="0.25">
      <c r="A1600" s="73"/>
      <c r="B1600" s="73"/>
    </row>
    <row r="1601" spans="1:2" x14ac:dyDescent="0.25">
      <c r="A1601" s="73"/>
      <c r="B1601" s="73"/>
    </row>
    <row r="1602" spans="1:2" x14ac:dyDescent="0.25">
      <c r="A1602" s="73"/>
      <c r="B1602" s="73"/>
    </row>
    <row r="1603" spans="1:2" x14ac:dyDescent="0.25">
      <c r="A1603" s="73"/>
      <c r="B1603" s="73"/>
    </row>
    <row r="1604" spans="1:2" x14ac:dyDescent="0.25">
      <c r="A1604" s="73"/>
      <c r="B1604" s="73"/>
    </row>
    <row r="1605" spans="1:2" x14ac:dyDescent="0.25">
      <c r="A1605" s="73"/>
      <c r="B1605" s="73"/>
    </row>
    <row r="1606" spans="1:2" x14ac:dyDescent="0.25">
      <c r="A1606" s="73"/>
      <c r="B1606" s="73"/>
    </row>
    <row r="1607" spans="1:2" x14ac:dyDescent="0.25">
      <c r="A1607" s="73"/>
      <c r="B1607" s="73"/>
    </row>
    <row r="1608" spans="1:2" x14ac:dyDescent="0.25">
      <c r="A1608" s="73"/>
      <c r="B1608" s="73"/>
    </row>
    <row r="1609" spans="1:2" x14ac:dyDescent="0.25">
      <c r="A1609" s="73"/>
      <c r="B1609" s="73"/>
    </row>
    <row r="1610" spans="1:2" x14ac:dyDescent="0.25">
      <c r="A1610" s="73"/>
      <c r="B1610" s="73"/>
    </row>
    <row r="1611" spans="1:2" x14ac:dyDescent="0.25">
      <c r="A1611" s="73"/>
      <c r="B1611" s="73"/>
    </row>
    <row r="1612" spans="1:2" x14ac:dyDescent="0.25">
      <c r="A1612" s="73"/>
      <c r="B1612" s="73"/>
    </row>
    <row r="1613" spans="1:2" x14ac:dyDescent="0.25">
      <c r="A1613" s="73"/>
      <c r="B1613" s="73"/>
    </row>
    <row r="1614" spans="1:2" x14ac:dyDescent="0.25">
      <c r="A1614" s="73"/>
      <c r="B1614" s="73"/>
    </row>
    <row r="1615" spans="1:2" x14ac:dyDescent="0.25">
      <c r="A1615" s="73"/>
      <c r="B1615" s="73"/>
    </row>
    <row r="1616" spans="1:2" x14ac:dyDescent="0.25">
      <c r="A1616" s="73"/>
      <c r="B1616" s="73"/>
    </row>
    <row r="1617" spans="1:2" x14ac:dyDescent="0.25">
      <c r="A1617" s="73"/>
      <c r="B1617" s="73"/>
    </row>
    <row r="1618" spans="1:2" x14ac:dyDescent="0.25">
      <c r="A1618" s="73"/>
      <c r="B1618" s="73"/>
    </row>
    <row r="1619" spans="1:2" x14ac:dyDescent="0.25">
      <c r="A1619" s="73"/>
      <c r="B1619" s="73"/>
    </row>
    <row r="1620" spans="1:2" x14ac:dyDescent="0.25">
      <c r="A1620" s="73"/>
      <c r="B1620" s="73"/>
    </row>
    <row r="1621" spans="1:2" x14ac:dyDescent="0.25">
      <c r="A1621" s="73"/>
      <c r="B1621" s="73"/>
    </row>
    <row r="1622" spans="1:2" x14ac:dyDescent="0.25">
      <c r="A1622" s="73"/>
      <c r="B1622" s="73"/>
    </row>
    <row r="1623" spans="1:2" x14ac:dyDescent="0.25">
      <c r="A1623" s="73"/>
      <c r="B1623" s="73"/>
    </row>
    <row r="1624" spans="1:2" x14ac:dyDescent="0.25">
      <c r="A1624" s="73"/>
      <c r="B1624" s="73"/>
    </row>
    <row r="1625" spans="1:2" x14ac:dyDescent="0.25">
      <c r="A1625" s="73"/>
      <c r="B1625" s="73"/>
    </row>
    <row r="1626" spans="1:2" x14ac:dyDescent="0.25">
      <c r="A1626" s="73"/>
      <c r="B1626" s="73"/>
    </row>
    <row r="1627" spans="1:2" x14ac:dyDescent="0.25">
      <c r="A1627" s="73"/>
      <c r="B1627" s="73"/>
    </row>
    <row r="1628" spans="1:2" x14ac:dyDescent="0.25">
      <c r="A1628" s="73"/>
      <c r="B1628" s="73"/>
    </row>
    <row r="1629" spans="1:2" x14ac:dyDescent="0.25">
      <c r="A1629" s="73"/>
      <c r="B1629" s="73"/>
    </row>
    <row r="1630" spans="1:2" x14ac:dyDescent="0.25">
      <c r="A1630" s="73"/>
      <c r="B1630" s="73"/>
    </row>
    <row r="1631" spans="1:2" x14ac:dyDescent="0.25">
      <c r="A1631" s="73"/>
      <c r="B1631" s="73"/>
    </row>
    <row r="1632" spans="1:2" x14ac:dyDescent="0.25">
      <c r="A1632" s="73"/>
      <c r="B1632" s="73"/>
    </row>
    <row r="1633" spans="1:2" x14ac:dyDescent="0.25">
      <c r="A1633" s="73"/>
      <c r="B1633" s="73"/>
    </row>
    <row r="1634" spans="1:2" x14ac:dyDescent="0.25">
      <c r="A1634" s="73"/>
      <c r="B1634" s="73"/>
    </row>
    <row r="1635" spans="1:2" x14ac:dyDescent="0.25">
      <c r="A1635" s="73"/>
      <c r="B1635" s="73"/>
    </row>
    <row r="1636" spans="1:2" x14ac:dyDescent="0.25">
      <c r="A1636" s="73"/>
      <c r="B1636" s="73"/>
    </row>
    <row r="1637" spans="1:2" x14ac:dyDescent="0.25">
      <c r="A1637" s="73"/>
      <c r="B1637" s="73"/>
    </row>
    <row r="1638" spans="1:2" x14ac:dyDescent="0.25">
      <c r="A1638" s="73"/>
      <c r="B1638" s="73"/>
    </row>
    <row r="1639" spans="1:2" x14ac:dyDescent="0.25">
      <c r="A1639" s="73"/>
      <c r="B1639" s="73"/>
    </row>
    <row r="1640" spans="1:2" x14ac:dyDescent="0.25">
      <c r="A1640" s="73"/>
      <c r="B1640" s="73"/>
    </row>
    <row r="1641" spans="1:2" x14ac:dyDescent="0.25">
      <c r="A1641" s="73"/>
      <c r="B1641" s="73"/>
    </row>
    <row r="1642" spans="1:2" x14ac:dyDescent="0.25">
      <c r="A1642" s="73"/>
      <c r="B1642" s="73"/>
    </row>
    <row r="1643" spans="1:2" x14ac:dyDescent="0.25">
      <c r="A1643" s="73"/>
      <c r="B1643" s="73"/>
    </row>
    <row r="1644" spans="1:2" x14ac:dyDescent="0.25">
      <c r="A1644" s="73"/>
      <c r="B1644" s="73"/>
    </row>
    <row r="1645" spans="1:2" x14ac:dyDescent="0.25">
      <c r="A1645" s="73"/>
      <c r="B1645" s="73"/>
    </row>
    <row r="1646" spans="1:2" x14ac:dyDescent="0.25">
      <c r="A1646" s="73"/>
      <c r="B1646" s="73"/>
    </row>
    <row r="1647" spans="1:2" x14ac:dyDescent="0.25">
      <c r="A1647" s="73"/>
      <c r="B1647" s="73"/>
    </row>
    <row r="1648" spans="1:2" x14ac:dyDescent="0.25">
      <c r="A1648" s="73"/>
      <c r="B1648" s="73"/>
    </row>
    <row r="1649" spans="1:2" x14ac:dyDescent="0.25">
      <c r="A1649" s="73"/>
      <c r="B1649" s="73"/>
    </row>
    <row r="1650" spans="1:2" x14ac:dyDescent="0.25">
      <c r="A1650" s="73"/>
      <c r="B1650" s="73"/>
    </row>
    <row r="1651" spans="1:2" x14ac:dyDescent="0.25">
      <c r="A1651" s="73"/>
      <c r="B1651" s="73"/>
    </row>
    <row r="1652" spans="1:2" x14ac:dyDescent="0.25">
      <c r="A1652" s="73"/>
      <c r="B1652" s="73"/>
    </row>
    <row r="1653" spans="1:2" x14ac:dyDescent="0.25">
      <c r="A1653" s="73"/>
      <c r="B1653" s="73"/>
    </row>
    <row r="1654" spans="1:2" x14ac:dyDescent="0.25">
      <c r="A1654" s="73"/>
      <c r="B1654" s="73"/>
    </row>
    <row r="1655" spans="1:2" x14ac:dyDescent="0.25">
      <c r="A1655" s="73"/>
      <c r="B1655" s="73"/>
    </row>
    <row r="1656" spans="1:2" x14ac:dyDescent="0.25">
      <c r="A1656" s="73"/>
      <c r="B1656" s="73"/>
    </row>
    <row r="1657" spans="1:2" x14ac:dyDescent="0.25">
      <c r="A1657" s="73"/>
      <c r="B1657" s="73"/>
    </row>
    <row r="1658" spans="1:2" x14ac:dyDescent="0.25">
      <c r="A1658" s="73"/>
      <c r="B1658" s="73"/>
    </row>
    <row r="1659" spans="1:2" x14ac:dyDescent="0.25">
      <c r="A1659" s="73"/>
      <c r="B1659" s="73"/>
    </row>
    <row r="1660" spans="1:2" x14ac:dyDescent="0.25">
      <c r="A1660" s="73"/>
      <c r="B1660" s="73"/>
    </row>
    <row r="1661" spans="1:2" x14ac:dyDescent="0.25">
      <c r="A1661" s="73"/>
      <c r="B1661" s="73"/>
    </row>
    <row r="1662" spans="1:2" x14ac:dyDescent="0.25">
      <c r="A1662" s="73"/>
      <c r="B1662" s="73"/>
    </row>
    <row r="1663" spans="1:2" x14ac:dyDescent="0.25">
      <c r="A1663" s="73"/>
      <c r="B1663" s="73"/>
    </row>
    <row r="1664" spans="1:2" x14ac:dyDescent="0.25">
      <c r="A1664" s="73"/>
      <c r="B1664" s="73"/>
    </row>
    <row r="1665" spans="1:2" x14ac:dyDescent="0.25">
      <c r="A1665" s="73"/>
      <c r="B1665" s="73"/>
    </row>
    <row r="1666" spans="1:2" x14ac:dyDescent="0.25">
      <c r="A1666" s="73"/>
      <c r="B1666" s="73"/>
    </row>
    <row r="1667" spans="1:2" x14ac:dyDescent="0.25">
      <c r="A1667" s="73"/>
      <c r="B1667" s="73"/>
    </row>
    <row r="1668" spans="1:2" x14ac:dyDescent="0.25">
      <c r="A1668" s="73"/>
      <c r="B1668" s="73"/>
    </row>
    <row r="1669" spans="1:2" x14ac:dyDescent="0.25">
      <c r="A1669" s="73"/>
      <c r="B1669" s="73"/>
    </row>
    <row r="1670" spans="1:2" x14ac:dyDescent="0.25">
      <c r="A1670" s="73"/>
      <c r="B1670" s="73"/>
    </row>
    <row r="1671" spans="1:2" x14ac:dyDescent="0.25">
      <c r="A1671" s="73"/>
      <c r="B1671" s="73"/>
    </row>
    <row r="1672" spans="1:2" x14ac:dyDescent="0.25">
      <c r="A1672" s="73"/>
      <c r="B1672" s="73"/>
    </row>
    <row r="1673" spans="1:2" x14ac:dyDescent="0.25">
      <c r="A1673" s="73"/>
      <c r="B1673" s="73"/>
    </row>
    <row r="1674" spans="1:2" x14ac:dyDescent="0.25">
      <c r="A1674" s="73"/>
      <c r="B1674" s="73"/>
    </row>
    <row r="1675" spans="1:2" x14ac:dyDescent="0.25">
      <c r="A1675" s="73"/>
      <c r="B1675" s="73"/>
    </row>
    <row r="1676" spans="1:2" x14ac:dyDescent="0.25">
      <c r="A1676" s="73"/>
      <c r="B1676" s="73"/>
    </row>
    <row r="1677" spans="1:2" x14ac:dyDescent="0.25">
      <c r="A1677" s="73"/>
      <c r="B1677" s="73"/>
    </row>
    <row r="1678" spans="1:2" x14ac:dyDescent="0.25">
      <c r="A1678" s="73"/>
      <c r="B1678" s="73"/>
    </row>
    <row r="1679" spans="1:2" x14ac:dyDescent="0.25">
      <c r="A1679" s="73"/>
      <c r="B1679" s="73"/>
    </row>
    <row r="1680" spans="1:2" x14ac:dyDescent="0.25">
      <c r="A1680" s="73"/>
      <c r="B1680" s="73"/>
    </row>
    <row r="1681" spans="1:2" x14ac:dyDescent="0.25">
      <c r="A1681" s="73"/>
      <c r="B1681" s="73"/>
    </row>
    <row r="1682" spans="1:2" x14ac:dyDescent="0.25">
      <c r="A1682" s="73"/>
      <c r="B1682" s="73"/>
    </row>
    <row r="1683" spans="1:2" x14ac:dyDescent="0.25">
      <c r="A1683" s="73"/>
      <c r="B1683" s="73"/>
    </row>
    <row r="1684" spans="1:2" x14ac:dyDescent="0.25">
      <c r="A1684" s="73"/>
      <c r="B1684" s="73"/>
    </row>
    <row r="1685" spans="1:2" x14ac:dyDescent="0.25">
      <c r="A1685" s="73"/>
      <c r="B1685" s="73"/>
    </row>
    <row r="1686" spans="1:2" x14ac:dyDescent="0.25">
      <c r="A1686" s="73"/>
      <c r="B1686" s="73"/>
    </row>
    <row r="1687" spans="1:2" x14ac:dyDescent="0.25">
      <c r="A1687" s="73"/>
      <c r="B1687" s="73"/>
    </row>
    <row r="1688" spans="1:2" x14ac:dyDescent="0.25">
      <c r="A1688" s="73"/>
      <c r="B1688" s="73"/>
    </row>
    <row r="1689" spans="1:2" x14ac:dyDescent="0.25">
      <c r="A1689" s="73"/>
      <c r="B1689" s="73"/>
    </row>
    <row r="1690" spans="1:2" x14ac:dyDescent="0.25">
      <c r="A1690" s="73"/>
      <c r="B1690" s="73"/>
    </row>
    <row r="1691" spans="1:2" x14ac:dyDescent="0.25">
      <c r="A1691" s="73"/>
      <c r="B1691" s="73"/>
    </row>
    <row r="1692" spans="1:2" x14ac:dyDescent="0.25">
      <c r="A1692" s="73"/>
      <c r="B1692" s="73"/>
    </row>
    <row r="1693" spans="1:2" x14ac:dyDescent="0.25">
      <c r="A1693" s="73"/>
      <c r="B1693" s="73"/>
    </row>
    <row r="1694" spans="1:2" x14ac:dyDescent="0.25">
      <c r="A1694" s="73"/>
      <c r="B1694" s="73"/>
    </row>
    <row r="1695" spans="1:2" x14ac:dyDescent="0.25">
      <c r="A1695" s="73"/>
      <c r="B1695" s="73"/>
    </row>
    <row r="1696" spans="1:2" x14ac:dyDescent="0.25">
      <c r="A1696" s="73"/>
      <c r="B1696" s="73"/>
    </row>
    <row r="1697" spans="1:2" x14ac:dyDescent="0.25">
      <c r="A1697" s="73"/>
      <c r="B1697" s="73"/>
    </row>
    <row r="1698" spans="1:2" x14ac:dyDescent="0.25">
      <c r="A1698" s="73"/>
      <c r="B1698" s="73"/>
    </row>
    <row r="1699" spans="1:2" x14ac:dyDescent="0.25">
      <c r="A1699" s="73"/>
      <c r="B1699" s="73"/>
    </row>
    <row r="1700" spans="1:2" x14ac:dyDescent="0.25">
      <c r="A1700" s="73"/>
      <c r="B1700" s="73"/>
    </row>
    <row r="1701" spans="1:2" x14ac:dyDescent="0.25">
      <c r="A1701" s="73"/>
      <c r="B1701" s="73"/>
    </row>
    <row r="1702" spans="1:2" x14ac:dyDescent="0.25">
      <c r="A1702" s="73"/>
      <c r="B1702" s="73"/>
    </row>
    <row r="1703" spans="1:2" x14ac:dyDescent="0.25">
      <c r="A1703" s="73"/>
      <c r="B1703" s="73"/>
    </row>
    <row r="1704" spans="1:2" x14ac:dyDescent="0.25">
      <c r="A1704" s="73"/>
      <c r="B1704" s="73"/>
    </row>
    <row r="1705" spans="1:2" x14ac:dyDescent="0.25">
      <c r="A1705" s="73"/>
      <c r="B1705" s="73"/>
    </row>
    <row r="1706" spans="1:2" x14ac:dyDescent="0.25">
      <c r="A1706" s="73"/>
      <c r="B1706" s="73"/>
    </row>
    <row r="1707" spans="1:2" x14ac:dyDescent="0.25">
      <c r="A1707" s="73"/>
      <c r="B1707" s="73"/>
    </row>
    <row r="1708" spans="1:2" x14ac:dyDescent="0.25">
      <c r="A1708" s="73"/>
      <c r="B1708" s="73"/>
    </row>
    <row r="1709" spans="1:2" x14ac:dyDescent="0.25">
      <c r="A1709" s="73"/>
      <c r="B1709" s="73"/>
    </row>
    <row r="1710" spans="1:2" x14ac:dyDescent="0.25">
      <c r="A1710" s="73"/>
      <c r="B1710" s="73"/>
    </row>
    <row r="1711" spans="1:2" x14ac:dyDescent="0.25">
      <c r="A1711" s="73"/>
      <c r="B1711" s="73"/>
    </row>
    <row r="1712" spans="1:2" x14ac:dyDescent="0.25">
      <c r="A1712" s="73"/>
      <c r="B1712" s="73"/>
    </row>
    <row r="1713" spans="1:2" x14ac:dyDescent="0.25">
      <c r="A1713" s="73"/>
      <c r="B1713" s="73"/>
    </row>
    <row r="1714" spans="1:2" x14ac:dyDescent="0.25">
      <c r="A1714" s="73"/>
      <c r="B1714" s="73"/>
    </row>
    <row r="1715" spans="1:2" x14ac:dyDescent="0.25">
      <c r="A1715" s="73"/>
      <c r="B1715" s="73"/>
    </row>
    <row r="1716" spans="1:2" x14ac:dyDescent="0.25">
      <c r="A1716" s="73"/>
      <c r="B1716" s="73"/>
    </row>
    <row r="1717" spans="1:2" x14ac:dyDescent="0.25">
      <c r="A1717" s="73"/>
      <c r="B1717" s="73"/>
    </row>
    <row r="1718" spans="1:2" x14ac:dyDescent="0.25">
      <c r="A1718" s="73"/>
      <c r="B1718" s="73"/>
    </row>
    <row r="1719" spans="1:2" x14ac:dyDescent="0.25">
      <c r="A1719" s="73"/>
      <c r="B1719" s="73"/>
    </row>
    <row r="1720" spans="1:2" x14ac:dyDescent="0.25">
      <c r="A1720" s="73"/>
      <c r="B1720" s="73"/>
    </row>
    <row r="1721" spans="1:2" x14ac:dyDescent="0.25">
      <c r="A1721" s="73"/>
      <c r="B1721" s="73"/>
    </row>
    <row r="1722" spans="1:2" x14ac:dyDescent="0.25">
      <c r="A1722" s="73"/>
      <c r="B1722" s="73"/>
    </row>
    <row r="1723" spans="1:2" x14ac:dyDescent="0.25">
      <c r="A1723" s="73"/>
      <c r="B1723" s="73"/>
    </row>
    <row r="1724" spans="1:2" x14ac:dyDescent="0.25">
      <c r="A1724" s="73"/>
      <c r="B1724" s="73"/>
    </row>
    <row r="1725" spans="1:2" x14ac:dyDescent="0.25">
      <c r="A1725" s="73"/>
      <c r="B1725" s="73"/>
    </row>
    <row r="1726" spans="1:2" x14ac:dyDescent="0.25">
      <c r="A1726" s="73"/>
      <c r="B1726" s="73"/>
    </row>
    <row r="1727" spans="1:2" x14ac:dyDescent="0.25">
      <c r="A1727" s="73"/>
      <c r="B1727" s="73"/>
    </row>
    <row r="1728" spans="1:2" x14ac:dyDescent="0.25">
      <c r="A1728" s="73"/>
      <c r="B1728" s="73"/>
    </row>
    <row r="1729" spans="1:2" x14ac:dyDescent="0.25">
      <c r="A1729" s="73"/>
      <c r="B1729" s="73"/>
    </row>
    <row r="1730" spans="1:2" x14ac:dyDescent="0.25">
      <c r="A1730" s="73"/>
      <c r="B1730" s="73"/>
    </row>
    <row r="1731" spans="1:2" x14ac:dyDescent="0.25">
      <c r="A1731" s="73"/>
      <c r="B1731" s="73"/>
    </row>
    <row r="1732" spans="1:2" x14ac:dyDescent="0.25">
      <c r="A1732" s="73"/>
      <c r="B1732" s="73"/>
    </row>
    <row r="1733" spans="1:2" x14ac:dyDescent="0.25">
      <c r="A1733" s="73"/>
      <c r="B1733" s="73"/>
    </row>
    <row r="1734" spans="1:2" x14ac:dyDescent="0.25">
      <c r="A1734" s="73"/>
      <c r="B1734" s="73"/>
    </row>
    <row r="1735" spans="1:2" x14ac:dyDescent="0.25">
      <c r="A1735" s="73"/>
      <c r="B1735" s="73"/>
    </row>
    <row r="1736" spans="1:2" x14ac:dyDescent="0.25">
      <c r="A1736" s="73"/>
      <c r="B1736" s="73"/>
    </row>
    <row r="1737" spans="1:2" x14ac:dyDescent="0.25">
      <c r="A1737" s="73"/>
      <c r="B1737" s="73"/>
    </row>
    <row r="1738" spans="1:2" x14ac:dyDescent="0.25">
      <c r="A1738" s="73"/>
      <c r="B1738" s="73"/>
    </row>
    <row r="1739" spans="1:2" x14ac:dyDescent="0.25">
      <c r="A1739" s="73"/>
      <c r="B1739" s="73"/>
    </row>
    <row r="1740" spans="1:2" x14ac:dyDescent="0.25">
      <c r="A1740" s="73"/>
      <c r="B1740" s="73"/>
    </row>
    <row r="1741" spans="1:2" x14ac:dyDescent="0.25">
      <c r="A1741" s="73"/>
      <c r="B1741" s="73"/>
    </row>
    <row r="1742" spans="1:2" x14ac:dyDescent="0.25">
      <c r="A1742" s="73"/>
      <c r="B1742" s="73"/>
    </row>
    <row r="1743" spans="1:2" x14ac:dyDescent="0.25">
      <c r="A1743" s="73"/>
      <c r="B1743" s="73"/>
    </row>
    <row r="1744" spans="1:2" x14ac:dyDescent="0.25">
      <c r="A1744" s="73"/>
      <c r="B1744" s="73"/>
    </row>
    <row r="1745" spans="1:2" x14ac:dyDescent="0.25">
      <c r="A1745" s="73"/>
      <c r="B1745" s="73"/>
    </row>
    <row r="1746" spans="1:2" x14ac:dyDescent="0.25">
      <c r="A1746" s="73"/>
      <c r="B1746" s="73"/>
    </row>
    <row r="1747" spans="1:2" x14ac:dyDescent="0.25">
      <c r="A1747" s="73"/>
      <c r="B1747" s="73"/>
    </row>
    <row r="1748" spans="1:2" x14ac:dyDescent="0.25">
      <c r="A1748" s="73"/>
      <c r="B1748" s="73"/>
    </row>
    <row r="1749" spans="1:2" x14ac:dyDescent="0.25">
      <c r="A1749" s="73"/>
      <c r="B1749" s="73"/>
    </row>
    <row r="1750" spans="1:2" x14ac:dyDescent="0.25">
      <c r="A1750" s="73"/>
      <c r="B1750" s="73"/>
    </row>
    <row r="1751" spans="1:2" x14ac:dyDescent="0.25">
      <c r="A1751" s="73"/>
      <c r="B1751" s="73"/>
    </row>
    <row r="1752" spans="1:2" x14ac:dyDescent="0.25">
      <c r="A1752" s="73"/>
      <c r="B1752" s="73"/>
    </row>
    <row r="1753" spans="1:2" x14ac:dyDescent="0.25">
      <c r="A1753" s="73"/>
      <c r="B1753" s="73"/>
    </row>
    <row r="1754" spans="1:2" x14ac:dyDescent="0.25">
      <c r="A1754" s="73"/>
      <c r="B1754" s="73"/>
    </row>
    <row r="1755" spans="1:2" x14ac:dyDescent="0.25">
      <c r="A1755" s="73"/>
      <c r="B1755" s="73"/>
    </row>
    <row r="1756" spans="1:2" x14ac:dyDescent="0.25">
      <c r="A1756" s="73"/>
      <c r="B1756" s="73"/>
    </row>
    <row r="1757" spans="1:2" x14ac:dyDescent="0.25">
      <c r="A1757" s="73"/>
      <c r="B1757" s="73"/>
    </row>
    <row r="1758" spans="1:2" x14ac:dyDescent="0.25">
      <c r="A1758" s="73"/>
      <c r="B1758" s="73"/>
    </row>
    <row r="1759" spans="1:2" x14ac:dyDescent="0.25">
      <c r="A1759" s="73"/>
      <c r="B1759" s="73"/>
    </row>
    <row r="1760" spans="1:2" x14ac:dyDescent="0.25">
      <c r="A1760" s="73"/>
      <c r="B1760" s="73"/>
    </row>
    <row r="1761" spans="1:2" x14ac:dyDescent="0.25">
      <c r="A1761" s="73"/>
      <c r="B1761" s="73"/>
    </row>
    <row r="1762" spans="1:2" x14ac:dyDescent="0.25">
      <c r="A1762" s="73"/>
      <c r="B1762" s="73"/>
    </row>
    <row r="1763" spans="1:2" x14ac:dyDescent="0.25">
      <c r="A1763" s="73"/>
      <c r="B1763" s="73"/>
    </row>
    <row r="1764" spans="1:2" x14ac:dyDescent="0.25">
      <c r="A1764" s="73"/>
      <c r="B1764" s="73"/>
    </row>
    <row r="1765" spans="1:2" x14ac:dyDescent="0.25">
      <c r="A1765" s="73"/>
      <c r="B1765" s="73"/>
    </row>
    <row r="1766" spans="1:2" x14ac:dyDescent="0.25">
      <c r="A1766" s="73"/>
      <c r="B1766" s="73"/>
    </row>
    <row r="1767" spans="1:2" x14ac:dyDescent="0.25">
      <c r="A1767" s="73"/>
      <c r="B1767" s="73"/>
    </row>
    <row r="1768" spans="1:2" x14ac:dyDescent="0.25">
      <c r="A1768" s="73"/>
      <c r="B1768" s="73"/>
    </row>
    <row r="1769" spans="1:2" x14ac:dyDescent="0.25">
      <c r="A1769" s="73"/>
      <c r="B1769" s="73"/>
    </row>
    <row r="1770" spans="1:2" x14ac:dyDescent="0.25">
      <c r="A1770" s="73"/>
      <c r="B1770" s="73"/>
    </row>
    <row r="1771" spans="1:2" x14ac:dyDescent="0.25">
      <c r="A1771" s="73"/>
      <c r="B1771" s="73"/>
    </row>
    <row r="1772" spans="1:2" x14ac:dyDescent="0.25">
      <c r="A1772" s="73"/>
      <c r="B1772" s="73"/>
    </row>
    <row r="1773" spans="1:2" x14ac:dyDescent="0.25">
      <c r="A1773" s="73"/>
      <c r="B1773" s="73"/>
    </row>
    <row r="1774" spans="1:2" x14ac:dyDescent="0.25">
      <c r="A1774" s="73"/>
      <c r="B1774" s="73"/>
    </row>
    <row r="1775" spans="1:2" x14ac:dyDescent="0.25">
      <c r="A1775" s="73"/>
      <c r="B1775" s="73"/>
    </row>
    <row r="1776" spans="1:2" x14ac:dyDescent="0.25">
      <c r="A1776" s="73"/>
      <c r="B1776" s="73"/>
    </row>
    <row r="1777" spans="1:2" x14ac:dyDescent="0.25">
      <c r="A1777" s="73"/>
      <c r="B1777" s="73"/>
    </row>
    <row r="1778" spans="1:2" x14ac:dyDescent="0.25">
      <c r="A1778" s="73"/>
      <c r="B1778" s="73"/>
    </row>
    <row r="1779" spans="1:2" x14ac:dyDescent="0.25">
      <c r="A1779" s="73"/>
      <c r="B1779" s="73"/>
    </row>
    <row r="1780" spans="1:2" x14ac:dyDescent="0.25">
      <c r="A1780" s="73"/>
      <c r="B1780" s="73"/>
    </row>
    <row r="1781" spans="1:2" x14ac:dyDescent="0.25">
      <c r="A1781" s="73"/>
      <c r="B1781" s="73"/>
    </row>
    <row r="1782" spans="1:2" x14ac:dyDescent="0.25">
      <c r="A1782" s="73"/>
      <c r="B1782" s="73"/>
    </row>
    <row r="1783" spans="1:2" x14ac:dyDescent="0.25">
      <c r="A1783" s="73"/>
      <c r="B1783" s="73"/>
    </row>
    <row r="1784" spans="1:2" x14ac:dyDescent="0.25">
      <c r="A1784" s="73"/>
      <c r="B1784" s="73"/>
    </row>
    <row r="1785" spans="1:2" x14ac:dyDescent="0.25">
      <c r="A1785" s="73"/>
      <c r="B1785" s="73"/>
    </row>
    <row r="1786" spans="1:2" x14ac:dyDescent="0.25">
      <c r="A1786" s="73"/>
      <c r="B1786" s="73"/>
    </row>
    <row r="1787" spans="1:2" x14ac:dyDescent="0.25">
      <c r="A1787" s="73"/>
      <c r="B1787" s="73"/>
    </row>
    <row r="1788" spans="1:2" x14ac:dyDescent="0.25">
      <c r="A1788" s="73"/>
      <c r="B1788" s="73"/>
    </row>
    <row r="1789" spans="1:2" x14ac:dyDescent="0.25">
      <c r="A1789" s="73"/>
      <c r="B1789" s="73"/>
    </row>
    <row r="1790" spans="1:2" x14ac:dyDescent="0.25">
      <c r="A1790" s="73"/>
      <c r="B1790" s="73"/>
    </row>
    <row r="1791" spans="1:2" x14ac:dyDescent="0.25">
      <c r="A1791" s="73"/>
      <c r="B1791" s="73"/>
    </row>
    <row r="1792" spans="1:2" x14ac:dyDescent="0.25">
      <c r="A1792" s="73"/>
      <c r="B1792" s="73"/>
    </row>
    <row r="1793" spans="1:2" x14ac:dyDescent="0.25">
      <c r="A1793" s="73"/>
      <c r="B1793" s="73"/>
    </row>
    <row r="1794" spans="1:2" x14ac:dyDescent="0.25">
      <c r="A1794" s="73"/>
      <c r="B1794" s="73"/>
    </row>
    <row r="1795" spans="1:2" x14ac:dyDescent="0.25">
      <c r="A1795" s="73"/>
      <c r="B1795" s="73"/>
    </row>
    <row r="1796" spans="1:2" x14ac:dyDescent="0.25">
      <c r="A1796" s="73"/>
      <c r="B1796" s="73"/>
    </row>
    <row r="1797" spans="1:2" x14ac:dyDescent="0.25">
      <c r="A1797" s="73"/>
      <c r="B1797" s="73"/>
    </row>
    <row r="1798" spans="1:2" x14ac:dyDescent="0.25">
      <c r="A1798" s="73"/>
      <c r="B1798" s="73"/>
    </row>
    <row r="1799" spans="1:2" x14ac:dyDescent="0.25">
      <c r="A1799" s="73"/>
      <c r="B1799" s="73"/>
    </row>
    <row r="1800" spans="1:2" x14ac:dyDescent="0.25">
      <c r="A1800" s="73"/>
      <c r="B1800" s="73"/>
    </row>
    <row r="1801" spans="1:2" x14ac:dyDescent="0.25">
      <c r="A1801" s="73"/>
      <c r="B1801" s="73"/>
    </row>
    <row r="1802" spans="1:2" x14ac:dyDescent="0.25">
      <c r="A1802" s="73"/>
      <c r="B1802" s="73"/>
    </row>
    <row r="1803" spans="1:2" x14ac:dyDescent="0.25">
      <c r="A1803" s="73"/>
      <c r="B1803" s="73"/>
    </row>
    <row r="1804" spans="1:2" x14ac:dyDescent="0.25">
      <c r="A1804" s="73"/>
      <c r="B1804" s="73"/>
    </row>
    <row r="1805" spans="1:2" x14ac:dyDescent="0.25">
      <c r="A1805" s="73"/>
      <c r="B1805" s="73"/>
    </row>
    <row r="1806" spans="1:2" x14ac:dyDescent="0.25">
      <c r="A1806" s="73"/>
      <c r="B1806" s="73"/>
    </row>
    <row r="1807" spans="1:2" x14ac:dyDescent="0.25">
      <c r="A1807" s="73"/>
      <c r="B1807" s="73"/>
    </row>
    <row r="1808" spans="1:2" x14ac:dyDescent="0.25">
      <c r="A1808" s="73"/>
      <c r="B1808" s="73"/>
    </row>
    <row r="1809" spans="1:2" x14ac:dyDescent="0.25">
      <c r="A1809" s="73"/>
      <c r="B1809" s="73"/>
    </row>
    <row r="1810" spans="1:2" x14ac:dyDescent="0.25">
      <c r="A1810" s="73"/>
      <c r="B1810" s="73"/>
    </row>
    <row r="1811" spans="1:2" x14ac:dyDescent="0.25">
      <c r="A1811" s="73"/>
      <c r="B1811" s="73"/>
    </row>
    <row r="1812" spans="1:2" x14ac:dyDescent="0.25">
      <c r="A1812" s="73"/>
      <c r="B1812" s="73"/>
    </row>
    <row r="1813" spans="1:2" x14ac:dyDescent="0.25">
      <c r="A1813" s="73"/>
      <c r="B1813" s="73"/>
    </row>
    <row r="1814" spans="1:2" x14ac:dyDescent="0.25">
      <c r="A1814" s="73"/>
      <c r="B1814" s="73"/>
    </row>
    <row r="1815" spans="1:2" x14ac:dyDescent="0.25">
      <c r="A1815" s="73"/>
      <c r="B1815" s="73"/>
    </row>
    <row r="1816" spans="1:2" x14ac:dyDescent="0.25">
      <c r="A1816" s="73"/>
      <c r="B1816" s="73"/>
    </row>
    <row r="1817" spans="1:2" x14ac:dyDescent="0.25">
      <c r="A1817" s="73"/>
      <c r="B1817" s="73"/>
    </row>
    <row r="1818" spans="1:2" x14ac:dyDescent="0.25">
      <c r="A1818" s="73"/>
      <c r="B1818" s="73"/>
    </row>
    <row r="1819" spans="1:2" x14ac:dyDescent="0.25">
      <c r="A1819" s="73"/>
      <c r="B1819" s="73"/>
    </row>
    <row r="1820" spans="1:2" x14ac:dyDescent="0.25">
      <c r="A1820" s="73"/>
      <c r="B1820" s="73"/>
    </row>
    <row r="1821" spans="1:2" x14ac:dyDescent="0.25">
      <c r="A1821" s="73"/>
      <c r="B1821" s="73"/>
    </row>
    <row r="1822" spans="1:2" x14ac:dyDescent="0.25">
      <c r="A1822" s="73"/>
      <c r="B1822" s="73"/>
    </row>
    <row r="1823" spans="1:2" x14ac:dyDescent="0.25">
      <c r="A1823" s="73"/>
      <c r="B1823" s="73"/>
    </row>
    <row r="1824" spans="1:2" x14ac:dyDescent="0.25">
      <c r="A1824" s="73"/>
      <c r="B1824" s="73"/>
    </row>
    <row r="1825" spans="1:2" x14ac:dyDescent="0.25">
      <c r="A1825" s="73"/>
      <c r="B1825" s="73"/>
    </row>
    <row r="1826" spans="1:2" x14ac:dyDescent="0.25">
      <c r="A1826" s="73"/>
      <c r="B1826" s="73"/>
    </row>
    <row r="1827" spans="1:2" x14ac:dyDescent="0.25">
      <c r="A1827" s="73"/>
      <c r="B1827" s="73"/>
    </row>
    <row r="1828" spans="1:2" x14ac:dyDescent="0.25">
      <c r="A1828" s="73"/>
      <c r="B1828" s="73"/>
    </row>
    <row r="1829" spans="1:2" x14ac:dyDescent="0.25">
      <c r="A1829" s="73"/>
      <c r="B1829" s="73"/>
    </row>
    <row r="1830" spans="1:2" x14ac:dyDescent="0.25">
      <c r="A1830" s="73"/>
      <c r="B1830" s="73"/>
    </row>
    <row r="1831" spans="1:2" x14ac:dyDescent="0.25">
      <c r="A1831" s="73"/>
      <c r="B1831" s="73"/>
    </row>
    <row r="1832" spans="1:2" x14ac:dyDescent="0.25">
      <c r="A1832" s="73"/>
      <c r="B1832" s="73"/>
    </row>
    <row r="1833" spans="1:2" x14ac:dyDescent="0.25">
      <c r="A1833" s="73"/>
      <c r="B1833" s="73"/>
    </row>
    <row r="1834" spans="1:2" x14ac:dyDescent="0.25">
      <c r="A1834" s="73"/>
      <c r="B1834" s="73"/>
    </row>
    <row r="1835" spans="1:2" x14ac:dyDescent="0.25">
      <c r="A1835" s="73"/>
      <c r="B1835" s="73"/>
    </row>
    <row r="1836" spans="1:2" x14ac:dyDescent="0.25">
      <c r="A1836" s="73"/>
      <c r="B1836" s="73"/>
    </row>
    <row r="1837" spans="1:2" x14ac:dyDescent="0.25">
      <c r="A1837" s="73"/>
      <c r="B1837" s="73"/>
    </row>
    <row r="1838" spans="1:2" x14ac:dyDescent="0.25">
      <c r="A1838" s="73"/>
      <c r="B1838" s="73"/>
    </row>
    <row r="1839" spans="1:2" x14ac:dyDescent="0.25">
      <c r="A1839" s="73"/>
      <c r="B1839" s="73"/>
    </row>
    <row r="1840" spans="1:2" x14ac:dyDescent="0.25">
      <c r="A1840" s="73"/>
      <c r="B1840" s="73"/>
    </row>
    <row r="1841" spans="1:2" x14ac:dyDescent="0.25">
      <c r="A1841" s="73"/>
      <c r="B1841" s="73"/>
    </row>
    <row r="1842" spans="1:2" x14ac:dyDescent="0.25">
      <c r="A1842" s="73"/>
      <c r="B1842" s="73"/>
    </row>
    <row r="1843" spans="1:2" x14ac:dyDescent="0.25">
      <c r="A1843" s="73"/>
      <c r="B1843" s="73"/>
    </row>
    <row r="1844" spans="1:2" x14ac:dyDescent="0.25">
      <c r="A1844" s="73"/>
      <c r="B1844" s="73"/>
    </row>
    <row r="1845" spans="1:2" x14ac:dyDescent="0.25">
      <c r="A1845" s="73"/>
      <c r="B1845" s="73"/>
    </row>
    <row r="1846" spans="1:2" x14ac:dyDescent="0.25">
      <c r="A1846" s="73"/>
      <c r="B1846" s="73"/>
    </row>
    <row r="1847" spans="1:2" x14ac:dyDescent="0.25">
      <c r="A1847" s="73"/>
      <c r="B1847" s="73"/>
    </row>
    <row r="1848" spans="1:2" x14ac:dyDescent="0.25">
      <c r="A1848" s="73"/>
      <c r="B1848" s="73"/>
    </row>
    <row r="1849" spans="1:2" x14ac:dyDescent="0.25">
      <c r="A1849" s="73"/>
      <c r="B1849" s="73"/>
    </row>
    <row r="1850" spans="1:2" x14ac:dyDescent="0.25">
      <c r="A1850" s="73"/>
      <c r="B1850" s="73"/>
    </row>
    <row r="1851" spans="1:2" x14ac:dyDescent="0.25">
      <c r="A1851" s="73"/>
      <c r="B1851" s="73"/>
    </row>
    <row r="1852" spans="1:2" x14ac:dyDescent="0.25">
      <c r="A1852" s="73"/>
      <c r="B1852" s="73"/>
    </row>
    <row r="1853" spans="1:2" x14ac:dyDescent="0.25">
      <c r="A1853" s="73"/>
      <c r="B1853" s="73"/>
    </row>
    <row r="1854" spans="1:2" x14ac:dyDescent="0.25">
      <c r="A1854" s="73"/>
      <c r="B1854" s="73"/>
    </row>
    <row r="1855" spans="1:2" x14ac:dyDescent="0.25">
      <c r="A1855" s="73"/>
      <c r="B1855" s="73"/>
    </row>
    <row r="1856" spans="1:2" x14ac:dyDescent="0.25">
      <c r="A1856" s="73"/>
      <c r="B1856" s="73"/>
    </row>
    <row r="1857" spans="1:2" x14ac:dyDescent="0.25">
      <c r="A1857" s="73"/>
      <c r="B1857" s="73"/>
    </row>
    <row r="1858" spans="1:2" x14ac:dyDescent="0.25">
      <c r="A1858" s="73"/>
      <c r="B1858" s="73"/>
    </row>
    <row r="1859" spans="1:2" x14ac:dyDescent="0.25">
      <c r="A1859" s="73"/>
      <c r="B1859" s="73"/>
    </row>
    <row r="1860" spans="1:2" x14ac:dyDescent="0.25">
      <c r="A1860" s="73"/>
      <c r="B1860" s="73"/>
    </row>
    <row r="1861" spans="1:2" x14ac:dyDescent="0.25">
      <c r="A1861" s="73"/>
      <c r="B1861" s="73"/>
    </row>
    <row r="1862" spans="1:2" x14ac:dyDescent="0.25">
      <c r="A1862" s="73"/>
      <c r="B1862" s="73"/>
    </row>
    <row r="1863" spans="1:2" x14ac:dyDescent="0.25">
      <c r="A1863" s="73"/>
      <c r="B1863" s="73"/>
    </row>
    <row r="1864" spans="1:2" x14ac:dyDescent="0.25">
      <c r="A1864" s="73"/>
      <c r="B1864" s="73"/>
    </row>
    <row r="1865" spans="1:2" x14ac:dyDescent="0.25">
      <c r="A1865" s="73"/>
      <c r="B1865" s="73"/>
    </row>
    <row r="1866" spans="1:2" x14ac:dyDescent="0.25">
      <c r="A1866" s="73"/>
      <c r="B1866" s="73"/>
    </row>
    <row r="1867" spans="1:2" x14ac:dyDescent="0.25">
      <c r="A1867" s="73"/>
      <c r="B1867" s="73"/>
    </row>
    <row r="1868" spans="1:2" x14ac:dyDescent="0.25">
      <c r="A1868" s="73"/>
      <c r="B1868" s="73"/>
    </row>
    <row r="1869" spans="1:2" x14ac:dyDescent="0.25">
      <c r="A1869" s="73"/>
      <c r="B1869" s="73"/>
    </row>
    <row r="1870" spans="1:2" x14ac:dyDescent="0.25">
      <c r="A1870" s="73"/>
      <c r="B1870" s="73"/>
    </row>
    <row r="1871" spans="1:2" x14ac:dyDescent="0.25">
      <c r="A1871" s="73"/>
      <c r="B1871" s="73"/>
    </row>
    <row r="1872" spans="1:2" x14ac:dyDescent="0.25">
      <c r="A1872" s="73"/>
      <c r="B1872" s="73"/>
    </row>
    <row r="1873" spans="1:2" x14ac:dyDescent="0.25">
      <c r="A1873" s="73"/>
      <c r="B1873" s="73"/>
    </row>
    <row r="1874" spans="1:2" x14ac:dyDescent="0.25">
      <c r="A1874" s="73"/>
      <c r="B1874" s="73"/>
    </row>
    <row r="1875" spans="1:2" x14ac:dyDescent="0.25">
      <c r="A1875" s="73"/>
      <c r="B1875" s="73"/>
    </row>
    <row r="1876" spans="1:2" x14ac:dyDescent="0.25">
      <c r="A1876" s="73"/>
      <c r="B1876" s="73"/>
    </row>
    <row r="1877" spans="1:2" x14ac:dyDescent="0.25">
      <c r="A1877" s="73"/>
      <c r="B1877" s="73"/>
    </row>
    <row r="1878" spans="1:2" x14ac:dyDescent="0.25">
      <c r="A1878" s="73"/>
      <c r="B1878" s="73"/>
    </row>
    <row r="1879" spans="1:2" x14ac:dyDescent="0.25">
      <c r="A1879" s="73"/>
      <c r="B1879" s="73"/>
    </row>
    <row r="1880" spans="1:2" x14ac:dyDescent="0.25">
      <c r="A1880" s="73"/>
      <c r="B1880" s="73"/>
    </row>
    <row r="1881" spans="1:2" x14ac:dyDescent="0.25">
      <c r="A1881" s="73"/>
      <c r="B1881" s="73"/>
    </row>
    <row r="1882" spans="1:2" x14ac:dyDescent="0.25">
      <c r="A1882" s="73"/>
      <c r="B1882" s="73"/>
    </row>
    <row r="1883" spans="1:2" x14ac:dyDescent="0.25">
      <c r="A1883" s="73"/>
      <c r="B1883" s="73"/>
    </row>
    <row r="1884" spans="1:2" x14ac:dyDescent="0.25">
      <c r="A1884" s="73"/>
      <c r="B1884" s="73"/>
    </row>
    <row r="1885" spans="1:2" x14ac:dyDescent="0.25">
      <c r="A1885" s="73"/>
      <c r="B1885" s="73"/>
    </row>
    <row r="1886" spans="1:2" x14ac:dyDescent="0.25">
      <c r="A1886" s="73"/>
      <c r="B1886" s="73"/>
    </row>
    <row r="1887" spans="1:2" x14ac:dyDescent="0.25">
      <c r="A1887" s="73"/>
      <c r="B1887" s="73"/>
    </row>
    <row r="1888" spans="1:2" x14ac:dyDescent="0.25">
      <c r="A1888" s="73"/>
      <c r="B1888" s="73"/>
    </row>
    <row r="1889" spans="1:2" x14ac:dyDescent="0.25">
      <c r="A1889" s="73"/>
      <c r="B1889" s="73"/>
    </row>
    <row r="1890" spans="1:2" x14ac:dyDescent="0.25">
      <c r="A1890" s="73"/>
      <c r="B1890" s="73"/>
    </row>
    <row r="1891" spans="1:2" x14ac:dyDescent="0.25">
      <c r="A1891" s="73"/>
      <c r="B1891" s="73"/>
    </row>
    <row r="1892" spans="1:2" x14ac:dyDescent="0.25">
      <c r="A1892" s="73"/>
      <c r="B1892" s="73"/>
    </row>
    <row r="1893" spans="1:2" x14ac:dyDescent="0.25">
      <c r="A1893" s="73"/>
      <c r="B1893" s="73"/>
    </row>
    <row r="1894" spans="1:2" x14ac:dyDescent="0.25">
      <c r="A1894" s="73"/>
      <c r="B1894" s="73"/>
    </row>
    <row r="1895" spans="1:2" x14ac:dyDescent="0.25">
      <c r="A1895" s="73"/>
      <c r="B1895" s="73"/>
    </row>
    <row r="1896" spans="1:2" x14ac:dyDescent="0.25">
      <c r="A1896" s="73"/>
      <c r="B1896" s="73"/>
    </row>
    <row r="1897" spans="1:2" x14ac:dyDescent="0.25">
      <c r="A1897" s="73"/>
      <c r="B1897" s="73"/>
    </row>
    <row r="1898" spans="1:2" x14ac:dyDescent="0.25">
      <c r="A1898" s="73"/>
      <c r="B1898" s="73"/>
    </row>
    <row r="1899" spans="1:2" x14ac:dyDescent="0.25">
      <c r="A1899" s="73"/>
      <c r="B1899" s="73"/>
    </row>
    <row r="1900" spans="1:2" x14ac:dyDescent="0.25">
      <c r="A1900" s="73"/>
      <c r="B1900" s="73"/>
    </row>
    <row r="1901" spans="1:2" x14ac:dyDescent="0.25">
      <c r="A1901" s="73"/>
      <c r="B1901" s="73"/>
    </row>
    <row r="1902" spans="1:2" x14ac:dyDescent="0.25">
      <c r="A1902" s="73"/>
      <c r="B1902" s="73"/>
    </row>
    <row r="1903" spans="1:2" x14ac:dyDescent="0.25">
      <c r="A1903" s="73"/>
      <c r="B1903" s="73"/>
    </row>
    <row r="1904" spans="1:2" x14ac:dyDescent="0.25">
      <c r="A1904" s="73"/>
      <c r="B1904" s="73"/>
    </row>
    <row r="1905" spans="1:2" x14ac:dyDescent="0.25">
      <c r="A1905" s="73"/>
      <c r="B1905" s="73"/>
    </row>
    <row r="1906" spans="1:2" x14ac:dyDescent="0.25">
      <c r="A1906" s="73"/>
      <c r="B1906" s="73"/>
    </row>
    <row r="1907" spans="1:2" x14ac:dyDescent="0.25">
      <c r="A1907" s="73"/>
      <c r="B1907" s="73"/>
    </row>
    <row r="1908" spans="1:2" x14ac:dyDescent="0.25">
      <c r="A1908" s="73"/>
      <c r="B1908" s="73"/>
    </row>
    <row r="1909" spans="1:2" x14ac:dyDescent="0.25">
      <c r="A1909" s="73"/>
      <c r="B1909" s="73"/>
    </row>
    <row r="1910" spans="1:2" x14ac:dyDescent="0.25">
      <c r="A1910" s="73"/>
      <c r="B1910" s="73"/>
    </row>
    <row r="1911" spans="1:2" x14ac:dyDescent="0.25">
      <c r="A1911" s="73"/>
      <c r="B1911" s="73"/>
    </row>
    <row r="1912" spans="1:2" x14ac:dyDescent="0.25">
      <c r="A1912" s="73"/>
      <c r="B1912" s="73"/>
    </row>
    <row r="1913" spans="1:2" x14ac:dyDescent="0.25">
      <c r="A1913" s="73"/>
      <c r="B1913" s="73"/>
    </row>
    <row r="1914" spans="1:2" x14ac:dyDescent="0.25">
      <c r="A1914" s="73"/>
      <c r="B1914" s="73"/>
    </row>
    <row r="1915" spans="1:2" x14ac:dyDescent="0.25">
      <c r="A1915" s="73"/>
      <c r="B1915" s="73"/>
    </row>
    <row r="1916" spans="1:2" x14ac:dyDescent="0.25">
      <c r="A1916" s="73"/>
      <c r="B1916" s="73"/>
    </row>
    <row r="1917" spans="1:2" x14ac:dyDescent="0.25">
      <c r="A1917" s="73"/>
      <c r="B1917" s="73"/>
    </row>
    <row r="1918" spans="1:2" x14ac:dyDescent="0.25">
      <c r="A1918" s="73"/>
      <c r="B1918" s="73"/>
    </row>
    <row r="1919" spans="1:2" x14ac:dyDescent="0.25">
      <c r="A1919" s="73"/>
      <c r="B1919" s="73"/>
    </row>
    <row r="1920" spans="1:2" x14ac:dyDescent="0.25">
      <c r="A1920" s="73"/>
      <c r="B1920" s="73"/>
    </row>
    <row r="1921" spans="1:2" x14ac:dyDescent="0.25">
      <c r="A1921" s="73"/>
      <c r="B1921" s="73"/>
    </row>
    <row r="1922" spans="1:2" x14ac:dyDescent="0.25">
      <c r="A1922" s="73"/>
      <c r="B1922" s="73"/>
    </row>
    <row r="1923" spans="1:2" x14ac:dyDescent="0.25">
      <c r="A1923" s="73"/>
      <c r="B1923" s="73"/>
    </row>
    <row r="1924" spans="1:2" x14ac:dyDescent="0.25">
      <c r="A1924" s="73"/>
      <c r="B1924" s="73"/>
    </row>
    <row r="1925" spans="1:2" x14ac:dyDescent="0.25">
      <c r="A1925" s="73"/>
      <c r="B1925" s="73"/>
    </row>
    <row r="1926" spans="1:2" x14ac:dyDescent="0.25">
      <c r="A1926" s="73"/>
      <c r="B1926" s="73"/>
    </row>
    <row r="1927" spans="1:2" x14ac:dyDescent="0.25">
      <c r="A1927" s="73"/>
      <c r="B1927" s="73"/>
    </row>
    <row r="1928" spans="1:2" x14ac:dyDescent="0.25">
      <c r="A1928" s="73"/>
      <c r="B1928" s="73"/>
    </row>
    <row r="1929" spans="1:2" x14ac:dyDescent="0.25">
      <c r="A1929" s="73"/>
      <c r="B1929" s="73"/>
    </row>
    <row r="1930" spans="1:2" x14ac:dyDescent="0.25">
      <c r="A1930" s="73"/>
      <c r="B1930" s="73"/>
    </row>
    <row r="1931" spans="1:2" x14ac:dyDescent="0.25">
      <c r="A1931" s="73"/>
      <c r="B1931" s="73"/>
    </row>
    <row r="1932" spans="1:2" x14ac:dyDescent="0.25">
      <c r="A1932" s="73"/>
      <c r="B1932" s="73"/>
    </row>
    <row r="1933" spans="1:2" x14ac:dyDescent="0.25">
      <c r="A1933" s="73"/>
      <c r="B1933" s="73"/>
    </row>
    <row r="1934" spans="1:2" x14ac:dyDescent="0.25">
      <c r="A1934" s="73"/>
      <c r="B1934" s="73"/>
    </row>
    <row r="1935" spans="1:2" x14ac:dyDescent="0.25">
      <c r="A1935" s="73"/>
      <c r="B1935" s="73"/>
    </row>
    <row r="1936" spans="1:2" x14ac:dyDescent="0.25">
      <c r="A1936" s="73"/>
      <c r="B1936" s="73"/>
    </row>
    <row r="1937" spans="1:2" x14ac:dyDescent="0.25">
      <c r="A1937" s="73"/>
      <c r="B1937" s="73"/>
    </row>
    <row r="1938" spans="1:2" x14ac:dyDescent="0.25">
      <c r="A1938" s="73"/>
      <c r="B1938" s="73"/>
    </row>
    <row r="1939" spans="1:2" x14ac:dyDescent="0.25">
      <c r="A1939" s="73"/>
      <c r="B1939" s="73"/>
    </row>
    <row r="1940" spans="1:2" x14ac:dyDescent="0.25">
      <c r="A1940" s="73"/>
      <c r="B1940" s="73"/>
    </row>
    <row r="1941" spans="1:2" x14ac:dyDescent="0.25">
      <c r="A1941" s="73"/>
      <c r="B1941" s="73"/>
    </row>
    <row r="1942" spans="1:2" x14ac:dyDescent="0.25">
      <c r="A1942" s="73"/>
      <c r="B1942" s="73"/>
    </row>
    <row r="1943" spans="1:2" x14ac:dyDescent="0.25">
      <c r="A1943" s="73"/>
      <c r="B1943" s="73"/>
    </row>
    <row r="1944" spans="1:2" x14ac:dyDescent="0.25">
      <c r="A1944" s="73"/>
      <c r="B1944" s="73"/>
    </row>
    <row r="1945" spans="1:2" x14ac:dyDescent="0.25">
      <c r="A1945" s="73"/>
      <c r="B1945" s="73"/>
    </row>
    <row r="1946" spans="1:2" x14ac:dyDescent="0.25">
      <c r="A1946" s="73"/>
      <c r="B1946" s="73"/>
    </row>
    <row r="1947" spans="1:2" x14ac:dyDescent="0.25">
      <c r="A1947" s="73"/>
      <c r="B1947" s="73"/>
    </row>
    <row r="1948" spans="1:2" x14ac:dyDescent="0.25">
      <c r="A1948" s="73"/>
      <c r="B1948" s="73"/>
    </row>
    <row r="1949" spans="1:2" x14ac:dyDescent="0.25">
      <c r="A1949" s="73"/>
      <c r="B1949" s="73"/>
    </row>
    <row r="1950" spans="1:2" x14ac:dyDescent="0.25">
      <c r="A1950" s="73"/>
      <c r="B1950" s="73"/>
    </row>
    <row r="1951" spans="1:2" x14ac:dyDescent="0.25">
      <c r="A1951" s="73"/>
      <c r="B1951" s="73"/>
    </row>
    <row r="1952" spans="1:2" x14ac:dyDescent="0.25">
      <c r="A1952" s="73"/>
      <c r="B1952" s="73"/>
    </row>
    <row r="1953" spans="1:2" x14ac:dyDescent="0.25">
      <c r="A1953" s="73"/>
      <c r="B1953" s="73"/>
    </row>
    <row r="1954" spans="1:2" x14ac:dyDescent="0.25">
      <c r="A1954" s="73"/>
      <c r="B1954" s="73"/>
    </row>
    <row r="1955" spans="1:2" x14ac:dyDescent="0.25">
      <c r="A1955" s="73"/>
      <c r="B1955" s="73"/>
    </row>
    <row r="1956" spans="1:2" x14ac:dyDescent="0.25">
      <c r="A1956" s="73"/>
      <c r="B1956" s="73"/>
    </row>
    <row r="1957" spans="1:2" x14ac:dyDescent="0.25">
      <c r="A1957" s="73"/>
      <c r="B1957" s="73"/>
    </row>
    <row r="1958" spans="1:2" x14ac:dyDescent="0.25">
      <c r="A1958" s="73"/>
      <c r="B1958" s="73"/>
    </row>
    <row r="1959" spans="1:2" x14ac:dyDescent="0.25">
      <c r="A1959" s="73"/>
      <c r="B1959" s="73"/>
    </row>
    <row r="1960" spans="1:2" x14ac:dyDescent="0.25">
      <c r="A1960" s="73"/>
      <c r="B1960" s="73"/>
    </row>
    <row r="1961" spans="1:2" x14ac:dyDescent="0.25">
      <c r="A1961" s="73"/>
      <c r="B1961" s="73"/>
    </row>
    <row r="1962" spans="1:2" x14ac:dyDescent="0.25">
      <c r="A1962" s="73"/>
      <c r="B1962" s="73"/>
    </row>
    <row r="1963" spans="1:2" x14ac:dyDescent="0.25">
      <c r="A1963" s="73"/>
      <c r="B1963" s="73"/>
    </row>
    <row r="1964" spans="1:2" x14ac:dyDescent="0.25">
      <c r="A1964" s="73"/>
      <c r="B1964" s="73"/>
    </row>
    <row r="1965" spans="1:2" x14ac:dyDescent="0.25">
      <c r="A1965" s="73"/>
      <c r="B1965" s="73"/>
    </row>
    <row r="1966" spans="1:2" x14ac:dyDescent="0.25">
      <c r="A1966" s="73"/>
      <c r="B1966" s="73"/>
    </row>
    <row r="1967" spans="1:2" x14ac:dyDescent="0.25">
      <c r="A1967" s="73"/>
      <c r="B1967" s="73"/>
    </row>
    <row r="1968" spans="1:2" x14ac:dyDescent="0.25">
      <c r="A1968" s="73"/>
      <c r="B1968" s="73"/>
    </row>
    <row r="1969" spans="1:2" x14ac:dyDescent="0.25">
      <c r="A1969" s="73"/>
      <c r="B1969" s="73"/>
    </row>
    <row r="1970" spans="1:2" x14ac:dyDescent="0.25">
      <c r="A1970" s="73"/>
      <c r="B1970" s="73"/>
    </row>
    <row r="1971" spans="1:2" x14ac:dyDescent="0.25">
      <c r="A1971" s="73"/>
      <c r="B1971" s="73"/>
    </row>
    <row r="1972" spans="1:2" x14ac:dyDescent="0.25">
      <c r="A1972" s="73"/>
      <c r="B1972" s="73"/>
    </row>
    <row r="1973" spans="1:2" x14ac:dyDescent="0.25">
      <c r="A1973" s="73"/>
      <c r="B1973" s="73"/>
    </row>
    <row r="1974" spans="1:2" x14ac:dyDescent="0.25">
      <c r="A1974" s="73"/>
      <c r="B1974" s="73"/>
    </row>
    <row r="1975" spans="1:2" x14ac:dyDescent="0.25">
      <c r="A1975" s="73"/>
      <c r="B1975" s="73"/>
    </row>
    <row r="1976" spans="1:2" x14ac:dyDescent="0.25">
      <c r="A1976" s="73"/>
      <c r="B1976" s="73"/>
    </row>
    <row r="1977" spans="1:2" x14ac:dyDescent="0.25">
      <c r="A1977" s="73"/>
      <c r="B1977" s="73"/>
    </row>
    <row r="1978" spans="1:2" x14ac:dyDescent="0.25">
      <c r="A1978" s="73"/>
      <c r="B1978" s="73"/>
    </row>
    <row r="1979" spans="1:2" x14ac:dyDescent="0.25">
      <c r="A1979" s="73"/>
      <c r="B1979" s="73"/>
    </row>
    <row r="1980" spans="1:2" x14ac:dyDescent="0.25">
      <c r="A1980" s="73"/>
      <c r="B1980" s="73"/>
    </row>
    <row r="1981" spans="1:2" x14ac:dyDescent="0.25">
      <c r="A1981" s="73"/>
      <c r="B1981" s="73"/>
    </row>
    <row r="1982" spans="1:2" x14ac:dyDescent="0.25">
      <c r="A1982" s="73"/>
      <c r="B1982" s="73"/>
    </row>
    <row r="1983" spans="1:2" x14ac:dyDescent="0.25">
      <c r="A1983" s="73"/>
      <c r="B1983" s="73"/>
    </row>
    <row r="1984" spans="1:2" x14ac:dyDescent="0.25">
      <c r="A1984" s="73"/>
      <c r="B1984" s="73"/>
    </row>
    <row r="1985" spans="1:2" x14ac:dyDescent="0.25">
      <c r="A1985" s="73"/>
      <c r="B1985" s="73"/>
    </row>
    <row r="1986" spans="1:2" x14ac:dyDescent="0.25">
      <c r="A1986" s="73"/>
      <c r="B1986" s="73"/>
    </row>
    <row r="1987" spans="1:2" x14ac:dyDescent="0.25">
      <c r="A1987" s="73"/>
      <c r="B1987" s="73"/>
    </row>
    <row r="1988" spans="1:2" x14ac:dyDescent="0.25">
      <c r="A1988" s="73"/>
      <c r="B1988" s="73"/>
    </row>
    <row r="1989" spans="1:2" x14ac:dyDescent="0.25">
      <c r="A1989" s="73"/>
      <c r="B1989" s="73"/>
    </row>
    <row r="1990" spans="1:2" x14ac:dyDescent="0.25">
      <c r="A1990" s="73"/>
      <c r="B1990" s="73"/>
    </row>
    <row r="1991" spans="1:2" x14ac:dyDescent="0.25">
      <c r="A1991" s="73"/>
      <c r="B1991" s="73"/>
    </row>
    <row r="1992" spans="1:2" x14ac:dyDescent="0.25">
      <c r="A1992" s="73"/>
      <c r="B1992" s="73"/>
    </row>
    <row r="1993" spans="1:2" x14ac:dyDescent="0.25">
      <c r="A1993" s="73"/>
      <c r="B1993" s="73"/>
    </row>
    <row r="1994" spans="1:2" x14ac:dyDescent="0.25">
      <c r="A1994" s="73"/>
      <c r="B1994" s="73"/>
    </row>
    <row r="1995" spans="1:2" x14ac:dyDescent="0.25">
      <c r="A1995" s="73"/>
      <c r="B1995" s="73"/>
    </row>
    <row r="1996" spans="1:2" x14ac:dyDescent="0.25">
      <c r="A1996" s="73"/>
      <c r="B1996" s="73"/>
    </row>
    <row r="1997" spans="1:2" x14ac:dyDescent="0.25">
      <c r="A1997" s="73"/>
      <c r="B1997" s="73"/>
    </row>
    <row r="1998" spans="1:2" x14ac:dyDescent="0.25">
      <c r="A1998" s="73"/>
      <c r="B1998" s="73"/>
    </row>
    <row r="1999" spans="1:2" x14ac:dyDescent="0.25">
      <c r="A1999" s="73"/>
      <c r="B1999" s="73"/>
    </row>
    <row r="2000" spans="1:2" x14ac:dyDescent="0.25">
      <c r="A2000" s="73"/>
      <c r="B2000" s="73"/>
    </row>
    <row r="2001" spans="1:2" x14ac:dyDescent="0.25">
      <c r="A2001" s="73"/>
      <c r="B2001" s="73"/>
    </row>
    <row r="2002" spans="1:2" x14ac:dyDescent="0.25">
      <c r="A2002" s="73"/>
      <c r="B2002" s="73"/>
    </row>
    <row r="2003" spans="1:2" x14ac:dyDescent="0.25">
      <c r="A2003" s="73"/>
      <c r="B2003" s="73"/>
    </row>
    <row r="2004" spans="1:2" x14ac:dyDescent="0.25">
      <c r="A2004" s="73"/>
      <c r="B2004" s="73"/>
    </row>
    <row r="2005" spans="1:2" x14ac:dyDescent="0.25">
      <c r="A2005" s="73"/>
      <c r="B2005" s="73"/>
    </row>
    <row r="2006" spans="1:2" x14ac:dyDescent="0.25">
      <c r="A2006" s="73"/>
      <c r="B2006" s="73"/>
    </row>
    <row r="2007" spans="1:2" x14ac:dyDescent="0.25">
      <c r="A2007" s="73"/>
      <c r="B2007" s="73"/>
    </row>
    <row r="2008" spans="1:2" x14ac:dyDescent="0.25">
      <c r="A2008" s="73"/>
      <c r="B2008" s="73"/>
    </row>
    <row r="2009" spans="1:2" x14ac:dyDescent="0.25">
      <c r="A2009" s="73"/>
      <c r="B2009" s="73"/>
    </row>
    <row r="2010" spans="1:2" x14ac:dyDescent="0.25">
      <c r="A2010" s="73"/>
      <c r="B2010" s="73"/>
    </row>
    <row r="2011" spans="1:2" x14ac:dyDescent="0.25">
      <c r="A2011" s="73"/>
      <c r="B2011" s="73"/>
    </row>
    <row r="2012" spans="1:2" x14ac:dyDescent="0.25">
      <c r="A2012" s="73"/>
      <c r="B2012" s="73"/>
    </row>
    <row r="2013" spans="1:2" x14ac:dyDescent="0.25">
      <c r="A2013" s="73"/>
      <c r="B2013" s="73"/>
    </row>
    <row r="2014" spans="1:2" x14ac:dyDescent="0.25">
      <c r="A2014" s="73"/>
      <c r="B2014" s="73"/>
    </row>
    <row r="2015" spans="1:2" x14ac:dyDescent="0.25">
      <c r="A2015" s="73"/>
      <c r="B2015" s="73"/>
    </row>
    <row r="2016" spans="1:2" x14ac:dyDescent="0.25">
      <c r="A2016" s="73"/>
      <c r="B2016" s="73"/>
    </row>
    <row r="2017" spans="1:2" x14ac:dyDescent="0.25">
      <c r="A2017" s="73"/>
      <c r="B2017" s="73"/>
    </row>
    <row r="2018" spans="1:2" x14ac:dyDescent="0.25">
      <c r="A2018" s="73"/>
      <c r="B2018" s="73"/>
    </row>
    <row r="2019" spans="1:2" x14ac:dyDescent="0.25">
      <c r="A2019" s="73"/>
      <c r="B2019" s="73"/>
    </row>
    <row r="2020" spans="1:2" x14ac:dyDescent="0.25">
      <c r="A2020" s="73"/>
      <c r="B2020" s="73"/>
    </row>
    <row r="2021" spans="1:2" x14ac:dyDescent="0.25">
      <c r="A2021" s="73"/>
      <c r="B2021" s="73"/>
    </row>
    <row r="2022" spans="1:2" x14ac:dyDescent="0.25">
      <c r="A2022" s="73"/>
      <c r="B2022" s="73"/>
    </row>
    <row r="2023" spans="1:2" x14ac:dyDescent="0.25">
      <c r="A2023" s="73"/>
      <c r="B2023" s="73"/>
    </row>
    <row r="2024" spans="1:2" x14ac:dyDescent="0.25">
      <c r="A2024" s="73"/>
      <c r="B2024" s="73"/>
    </row>
    <row r="2025" spans="1:2" x14ac:dyDescent="0.25">
      <c r="A2025" s="73"/>
      <c r="B2025" s="73"/>
    </row>
    <row r="2026" spans="1:2" x14ac:dyDescent="0.25">
      <c r="A2026" s="73"/>
      <c r="B2026" s="73"/>
    </row>
    <row r="2027" spans="1:2" x14ac:dyDescent="0.25">
      <c r="A2027" s="73"/>
      <c r="B2027" s="73"/>
    </row>
    <row r="2028" spans="1:2" x14ac:dyDescent="0.25">
      <c r="A2028" s="73"/>
      <c r="B2028" s="73"/>
    </row>
    <row r="2029" spans="1:2" x14ac:dyDescent="0.25">
      <c r="A2029" s="73"/>
      <c r="B2029" s="73"/>
    </row>
    <row r="2030" spans="1:2" x14ac:dyDescent="0.25">
      <c r="A2030" s="73"/>
      <c r="B2030" s="73"/>
    </row>
    <row r="2031" spans="1:2" x14ac:dyDescent="0.25">
      <c r="A2031" s="73"/>
      <c r="B2031" s="73"/>
    </row>
    <row r="2032" spans="1:2" x14ac:dyDescent="0.25">
      <c r="A2032" s="73"/>
      <c r="B2032" s="73"/>
    </row>
    <row r="2033" spans="1:2" x14ac:dyDescent="0.25">
      <c r="A2033" s="73"/>
      <c r="B2033" s="73"/>
    </row>
    <row r="2034" spans="1:2" x14ac:dyDescent="0.25">
      <c r="A2034" s="73"/>
      <c r="B2034" s="73"/>
    </row>
    <row r="2035" spans="1:2" x14ac:dyDescent="0.25">
      <c r="A2035" s="73"/>
      <c r="B2035" s="73"/>
    </row>
    <row r="2036" spans="1:2" x14ac:dyDescent="0.25">
      <c r="A2036" s="73"/>
      <c r="B2036" s="73"/>
    </row>
    <row r="2037" spans="1:2" x14ac:dyDescent="0.25">
      <c r="A2037" s="73"/>
      <c r="B2037" s="73"/>
    </row>
    <row r="2038" spans="1:2" x14ac:dyDescent="0.25">
      <c r="A2038" s="73"/>
      <c r="B2038" s="73"/>
    </row>
    <row r="2039" spans="1:2" x14ac:dyDescent="0.25">
      <c r="A2039" s="73"/>
      <c r="B2039" s="73"/>
    </row>
    <row r="2040" spans="1:2" x14ac:dyDescent="0.25">
      <c r="A2040" s="73"/>
      <c r="B2040" s="73"/>
    </row>
    <row r="2041" spans="1:2" x14ac:dyDescent="0.25">
      <c r="A2041" s="73"/>
      <c r="B2041" s="73"/>
    </row>
    <row r="2042" spans="1:2" x14ac:dyDescent="0.25">
      <c r="A2042" s="73"/>
      <c r="B2042" s="73"/>
    </row>
    <row r="2043" spans="1:2" x14ac:dyDescent="0.25">
      <c r="A2043" s="73"/>
      <c r="B2043" s="73"/>
    </row>
    <row r="2044" spans="1:2" x14ac:dyDescent="0.25">
      <c r="A2044" s="73"/>
      <c r="B2044" s="73"/>
    </row>
    <row r="2045" spans="1:2" x14ac:dyDescent="0.25">
      <c r="A2045" s="73"/>
      <c r="B2045" s="73"/>
    </row>
    <row r="2046" spans="1:2" x14ac:dyDescent="0.25">
      <c r="A2046" s="73"/>
      <c r="B2046" s="73"/>
    </row>
    <row r="2047" spans="1:2" x14ac:dyDescent="0.25">
      <c r="A2047" s="73"/>
      <c r="B2047" s="73"/>
    </row>
    <row r="2048" spans="1:2" x14ac:dyDescent="0.25">
      <c r="A2048" s="73"/>
      <c r="B2048" s="73"/>
    </row>
    <row r="2049" spans="1:2" x14ac:dyDescent="0.25">
      <c r="A2049" s="73"/>
      <c r="B2049" s="73"/>
    </row>
    <row r="2050" spans="1:2" x14ac:dyDescent="0.25">
      <c r="A2050" s="73"/>
      <c r="B2050" s="73"/>
    </row>
    <row r="2051" spans="1:2" x14ac:dyDescent="0.25">
      <c r="A2051" s="73"/>
      <c r="B2051" s="73"/>
    </row>
    <row r="2052" spans="1:2" x14ac:dyDescent="0.25">
      <c r="A2052" s="73"/>
      <c r="B2052" s="73"/>
    </row>
    <row r="2053" spans="1:2" x14ac:dyDescent="0.25">
      <c r="A2053" s="73"/>
      <c r="B2053" s="73"/>
    </row>
    <row r="2054" spans="1:2" x14ac:dyDescent="0.25">
      <c r="A2054" s="73"/>
      <c r="B2054" s="73"/>
    </row>
    <row r="2055" spans="1:2" x14ac:dyDescent="0.25">
      <c r="A2055" s="73"/>
      <c r="B2055" s="73"/>
    </row>
    <row r="2056" spans="1:2" x14ac:dyDescent="0.25">
      <c r="A2056" s="73"/>
      <c r="B2056" s="73"/>
    </row>
    <row r="2057" spans="1:2" x14ac:dyDescent="0.25">
      <c r="A2057" s="73"/>
      <c r="B2057" s="73"/>
    </row>
    <row r="2058" spans="1:2" x14ac:dyDescent="0.25">
      <c r="A2058" s="73"/>
      <c r="B2058" s="73"/>
    </row>
    <row r="2059" spans="1:2" x14ac:dyDescent="0.25">
      <c r="A2059" s="73"/>
      <c r="B2059" s="73"/>
    </row>
    <row r="2060" spans="1:2" x14ac:dyDescent="0.25">
      <c r="A2060" s="73"/>
      <c r="B2060" s="73"/>
    </row>
    <row r="2061" spans="1:2" x14ac:dyDescent="0.25">
      <c r="A2061" s="73"/>
      <c r="B2061" s="73"/>
    </row>
    <row r="2062" spans="1:2" x14ac:dyDescent="0.25">
      <c r="A2062" s="73"/>
      <c r="B2062" s="73"/>
    </row>
    <row r="2063" spans="1:2" x14ac:dyDescent="0.25">
      <c r="A2063" s="73"/>
      <c r="B2063" s="73"/>
    </row>
    <row r="2064" spans="1:2" x14ac:dyDescent="0.25">
      <c r="A2064" s="73"/>
      <c r="B2064" s="73"/>
    </row>
    <row r="2065" spans="1:2" x14ac:dyDescent="0.25">
      <c r="A2065" s="73"/>
      <c r="B2065" s="73"/>
    </row>
    <row r="2066" spans="1:2" x14ac:dyDescent="0.25">
      <c r="A2066" s="73"/>
      <c r="B2066" s="73"/>
    </row>
    <row r="2067" spans="1:2" x14ac:dyDescent="0.25">
      <c r="A2067" s="73"/>
      <c r="B2067" s="73"/>
    </row>
    <row r="2068" spans="1:2" x14ac:dyDescent="0.25">
      <c r="A2068" s="73"/>
      <c r="B2068" s="73"/>
    </row>
    <row r="2069" spans="1:2" x14ac:dyDescent="0.25">
      <c r="A2069" s="73"/>
      <c r="B2069" s="73"/>
    </row>
    <row r="2070" spans="1:2" x14ac:dyDescent="0.25">
      <c r="A2070" s="73"/>
      <c r="B2070" s="73"/>
    </row>
    <row r="2071" spans="1:2" x14ac:dyDescent="0.25">
      <c r="A2071" s="73"/>
      <c r="B2071" s="73"/>
    </row>
    <row r="2072" spans="1:2" x14ac:dyDescent="0.25">
      <c r="A2072" s="73"/>
      <c r="B2072" s="73"/>
    </row>
    <row r="2073" spans="1:2" x14ac:dyDescent="0.25">
      <c r="A2073" s="73"/>
      <c r="B2073" s="73"/>
    </row>
    <row r="2074" spans="1:2" x14ac:dyDescent="0.25">
      <c r="A2074" s="73"/>
      <c r="B2074" s="73"/>
    </row>
    <row r="2075" spans="1:2" x14ac:dyDescent="0.25">
      <c r="A2075" s="73"/>
      <c r="B2075" s="73"/>
    </row>
    <row r="2076" spans="1:2" x14ac:dyDescent="0.25">
      <c r="A2076" s="73"/>
      <c r="B2076" s="73"/>
    </row>
    <row r="2077" spans="1:2" x14ac:dyDescent="0.25">
      <c r="A2077" s="73"/>
      <c r="B2077" s="73"/>
    </row>
    <row r="2078" spans="1:2" x14ac:dyDescent="0.25">
      <c r="A2078" s="73"/>
      <c r="B2078" s="73"/>
    </row>
    <row r="2079" spans="1:2" x14ac:dyDescent="0.25">
      <c r="A2079" s="73"/>
      <c r="B2079" s="73"/>
    </row>
    <row r="2080" spans="1:2" x14ac:dyDescent="0.25">
      <c r="A2080" s="73"/>
      <c r="B2080" s="73"/>
    </row>
    <row r="2081" spans="1:2" x14ac:dyDescent="0.25">
      <c r="A2081" s="73"/>
      <c r="B2081" s="73"/>
    </row>
    <row r="2082" spans="1:2" x14ac:dyDescent="0.25">
      <c r="A2082" s="73"/>
      <c r="B2082" s="73"/>
    </row>
    <row r="2083" spans="1:2" x14ac:dyDescent="0.25">
      <c r="A2083" s="73"/>
      <c r="B2083" s="73"/>
    </row>
    <row r="2084" spans="1:2" x14ac:dyDescent="0.25">
      <c r="A2084" s="73"/>
      <c r="B2084" s="73"/>
    </row>
    <row r="2085" spans="1:2" x14ac:dyDescent="0.25">
      <c r="A2085" s="73"/>
      <c r="B2085" s="73"/>
    </row>
    <row r="2086" spans="1:2" x14ac:dyDescent="0.25">
      <c r="A2086" s="73"/>
      <c r="B2086" s="73"/>
    </row>
    <row r="2087" spans="1:2" x14ac:dyDescent="0.25">
      <c r="A2087" s="73"/>
      <c r="B2087" s="73"/>
    </row>
    <row r="2088" spans="1:2" x14ac:dyDescent="0.25">
      <c r="A2088" s="73"/>
      <c r="B2088" s="73"/>
    </row>
    <row r="2089" spans="1:2" x14ac:dyDescent="0.25">
      <c r="A2089" s="73"/>
      <c r="B2089" s="73"/>
    </row>
    <row r="2090" spans="1:2" x14ac:dyDescent="0.25">
      <c r="A2090" s="73"/>
      <c r="B2090" s="73"/>
    </row>
    <row r="2091" spans="1:2" x14ac:dyDescent="0.25">
      <c r="A2091" s="73"/>
      <c r="B2091" s="73"/>
    </row>
    <row r="2092" spans="1:2" x14ac:dyDescent="0.25">
      <c r="A2092" s="73"/>
      <c r="B2092" s="73"/>
    </row>
    <row r="2093" spans="1:2" x14ac:dyDescent="0.25">
      <c r="A2093" s="73"/>
      <c r="B2093" s="73"/>
    </row>
    <row r="2094" spans="1:2" x14ac:dyDescent="0.25">
      <c r="A2094" s="73"/>
      <c r="B2094" s="73"/>
    </row>
    <row r="2095" spans="1:2" x14ac:dyDescent="0.25">
      <c r="A2095" s="73"/>
      <c r="B2095" s="73"/>
    </row>
    <row r="2096" spans="1:2" x14ac:dyDescent="0.25">
      <c r="A2096" s="73"/>
      <c r="B2096" s="73"/>
    </row>
    <row r="2097" spans="1:2" x14ac:dyDescent="0.25">
      <c r="A2097" s="73"/>
      <c r="B2097" s="73"/>
    </row>
    <row r="2098" spans="1:2" x14ac:dyDescent="0.25">
      <c r="A2098" s="73"/>
      <c r="B2098" s="73"/>
    </row>
    <row r="2099" spans="1:2" x14ac:dyDescent="0.25">
      <c r="A2099" s="73"/>
      <c r="B2099" s="73"/>
    </row>
    <row r="2100" spans="1:2" x14ac:dyDescent="0.25">
      <c r="A2100" s="73"/>
      <c r="B2100" s="73"/>
    </row>
    <row r="2101" spans="1:2" x14ac:dyDescent="0.25">
      <c r="A2101" s="73"/>
      <c r="B2101" s="73"/>
    </row>
    <row r="2102" spans="1:2" x14ac:dyDescent="0.25">
      <c r="A2102" s="73"/>
      <c r="B2102" s="73"/>
    </row>
    <row r="2103" spans="1:2" x14ac:dyDescent="0.25">
      <c r="A2103" s="73"/>
      <c r="B2103" s="73"/>
    </row>
    <row r="2104" spans="1:2" x14ac:dyDescent="0.25">
      <c r="A2104" s="73"/>
      <c r="B2104" s="73"/>
    </row>
    <row r="2105" spans="1:2" x14ac:dyDescent="0.25">
      <c r="A2105" s="73"/>
      <c r="B2105" s="73"/>
    </row>
    <row r="2106" spans="1:2" x14ac:dyDescent="0.25">
      <c r="A2106" s="73"/>
      <c r="B2106" s="73"/>
    </row>
    <row r="2107" spans="1:2" x14ac:dyDescent="0.25">
      <c r="A2107" s="73"/>
      <c r="B2107" s="73"/>
    </row>
    <row r="2108" spans="1:2" x14ac:dyDescent="0.25">
      <c r="A2108" s="73"/>
      <c r="B2108" s="73"/>
    </row>
    <row r="2109" spans="1:2" x14ac:dyDescent="0.25">
      <c r="A2109" s="73"/>
      <c r="B2109" s="73"/>
    </row>
    <row r="2110" spans="1:2" x14ac:dyDescent="0.25">
      <c r="A2110" s="73"/>
      <c r="B2110" s="73"/>
    </row>
    <row r="2111" spans="1:2" x14ac:dyDescent="0.25">
      <c r="A2111" s="73"/>
      <c r="B2111" s="73"/>
    </row>
    <row r="2112" spans="1:2" x14ac:dyDescent="0.25">
      <c r="A2112" s="73"/>
      <c r="B2112" s="73"/>
    </row>
    <row r="2113" spans="1:2" x14ac:dyDescent="0.25">
      <c r="A2113" s="73"/>
      <c r="B2113" s="73"/>
    </row>
    <row r="2114" spans="1:2" x14ac:dyDescent="0.25">
      <c r="A2114" s="73"/>
      <c r="B2114" s="73"/>
    </row>
    <row r="2115" spans="1:2" x14ac:dyDescent="0.25">
      <c r="A2115" s="73"/>
      <c r="B2115" s="73"/>
    </row>
    <row r="2116" spans="1:2" x14ac:dyDescent="0.25">
      <c r="A2116" s="73"/>
      <c r="B2116" s="73"/>
    </row>
    <row r="2117" spans="1:2" x14ac:dyDescent="0.25">
      <c r="A2117" s="73"/>
      <c r="B2117" s="73"/>
    </row>
    <row r="2118" spans="1:2" x14ac:dyDescent="0.25">
      <c r="A2118" s="73"/>
      <c r="B2118" s="73"/>
    </row>
    <row r="2119" spans="1:2" x14ac:dyDescent="0.25">
      <c r="A2119" s="73"/>
      <c r="B2119" s="73"/>
    </row>
    <row r="2120" spans="1:2" x14ac:dyDescent="0.25">
      <c r="A2120" s="73"/>
      <c r="B2120" s="73"/>
    </row>
    <row r="2121" spans="1:2" x14ac:dyDescent="0.25">
      <c r="A2121" s="73"/>
      <c r="B2121" s="73"/>
    </row>
    <row r="2122" spans="1:2" x14ac:dyDescent="0.25">
      <c r="A2122" s="73"/>
      <c r="B2122" s="73"/>
    </row>
    <row r="2123" spans="1:2" x14ac:dyDescent="0.25">
      <c r="A2123" s="73"/>
      <c r="B2123" s="73"/>
    </row>
    <row r="2124" spans="1:2" x14ac:dyDescent="0.25">
      <c r="A2124" s="73"/>
      <c r="B2124" s="73"/>
    </row>
    <row r="2125" spans="1:2" x14ac:dyDescent="0.25">
      <c r="A2125" s="73"/>
      <c r="B2125" s="73"/>
    </row>
    <row r="2126" spans="1:2" x14ac:dyDescent="0.25">
      <c r="A2126" s="73"/>
      <c r="B2126" s="73"/>
    </row>
    <row r="2127" spans="1:2" x14ac:dyDescent="0.25">
      <c r="A2127" s="73"/>
      <c r="B2127" s="73"/>
    </row>
    <row r="2128" spans="1:2" x14ac:dyDescent="0.25">
      <c r="A2128" s="73"/>
      <c r="B2128" s="73"/>
    </row>
    <row r="2129" spans="1:2" x14ac:dyDescent="0.25">
      <c r="A2129" s="73"/>
      <c r="B2129" s="73"/>
    </row>
    <row r="2130" spans="1:2" x14ac:dyDescent="0.25">
      <c r="A2130" s="73"/>
      <c r="B2130" s="73"/>
    </row>
    <row r="2131" spans="1:2" x14ac:dyDescent="0.25">
      <c r="A2131" s="73"/>
      <c r="B2131" s="73"/>
    </row>
    <row r="2132" spans="1:2" x14ac:dyDescent="0.25">
      <c r="A2132" s="73"/>
      <c r="B2132" s="73"/>
    </row>
    <row r="2133" spans="1:2" x14ac:dyDescent="0.25">
      <c r="A2133" s="73"/>
      <c r="B2133" s="73"/>
    </row>
    <row r="2134" spans="1:2" x14ac:dyDescent="0.25">
      <c r="A2134" s="73"/>
      <c r="B2134" s="73"/>
    </row>
    <row r="2135" spans="1:2" x14ac:dyDescent="0.25">
      <c r="A2135" s="73"/>
      <c r="B2135" s="73"/>
    </row>
    <row r="2136" spans="1:2" x14ac:dyDescent="0.25">
      <c r="A2136" s="73"/>
      <c r="B2136" s="73"/>
    </row>
    <row r="2137" spans="1:2" x14ac:dyDescent="0.25">
      <c r="A2137" s="73"/>
      <c r="B2137" s="73"/>
    </row>
    <row r="2138" spans="1:2" x14ac:dyDescent="0.25">
      <c r="A2138" s="73"/>
      <c r="B2138" s="73"/>
    </row>
    <row r="2139" spans="1:2" x14ac:dyDescent="0.25">
      <c r="A2139" s="73"/>
      <c r="B2139" s="73"/>
    </row>
    <row r="2140" spans="1:2" x14ac:dyDescent="0.25">
      <c r="A2140" s="73"/>
      <c r="B2140" s="73"/>
    </row>
    <row r="2141" spans="1:2" x14ac:dyDescent="0.25">
      <c r="A2141" s="73"/>
      <c r="B2141" s="73"/>
    </row>
    <row r="2142" spans="1:2" x14ac:dyDescent="0.25">
      <c r="A2142" s="73"/>
      <c r="B2142" s="73"/>
    </row>
    <row r="2143" spans="1:2" x14ac:dyDescent="0.25">
      <c r="A2143" s="73"/>
      <c r="B2143" s="73"/>
    </row>
    <row r="2144" spans="1:2" x14ac:dyDescent="0.25">
      <c r="A2144" s="73"/>
      <c r="B2144" s="73"/>
    </row>
    <row r="2145" spans="1:2" x14ac:dyDescent="0.25">
      <c r="A2145" s="73"/>
      <c r="B2145" s="73"/>
    </row>
    <row r="2146" spans="1:2" x14ac:dyDescent="0.25">
      <c r="A2146" s="73"/>
      <c r="B2146" s="73"/>
    </row>
    <row r="2147" spans="1:2" x14ac:dyDescent="0.25">
      <c r="A2147" s="73"/>
      <c r="B2147" s="73"/>
    </row>
    <row r="2148" spans="1:2" x14ac:dyDescent="0.25">
      <c r="A2148" s="73"/>
      <c r="B2148" s="73"/>
    </row>
    <row r="2149" spans="1:2" x14ac:dyDescent="0.25">
      <c r="A2149" s="73"/>
      <c r="B2149" s="73"/>
    </row>
    <row r="2150" spans="1:2" x14ac:dyDescent="0.25">
      <c r="A2150" s="73"/>
      <c r="B2150" s="73"/>
    </row>
    <row r="2151" spans="1:2" x14ac:dyDescent="0.25">
      <c r="A2151" s="73"/>
      <c r="B2151" s="73"/>
    </row>
    <row r="2152" spans="1:2" x14ac:dyDescent="0.25">
      <c r="A2152" s="73"/>
      <c r="B2152" s="73"/>
    </row>
    <row r="2153" spans="1:2" x14ac:dyDescent="0.25">
      <c r="A2153" s="73"/>
      <c r="B2153" s="73"/>
    </row>
    <row r="2154" spans="1:2" x14ac:dyDescent="0.25">
      <c r="A2154" s="73"/>
      <c r="B2154" s="73"/>
    </row>
    <row r="2155" spans="1:2" x14ac:dyDescent="0.25">
      <c r="A2155" s="73"/>
      <c r="B2155" s="73"/>
    </row>
    <row r="2156" spans="1:2" x14ac:dyDescent="0.25">
      <c r="A2156" s="73"/>
      <c r="B2156" s="73"/>
    </row>
    <row r="2157" spans="1:2" x14ac:dyDescent="0.25">
      <c r="A2157" s="73"/>
      <c r="B2157" s="73"/>
    </row>
    <row r="2158" spans="1:2" x14ac:dyDescent="0.25">
      <c r="A2158" s="73"/>
      <c r="B2158" s="73"/>
    </row>
    <row r="2159" spans="1:2" x14ac:dyDescent="0.25">
      <c r="A2159" s="73"/>
      <c r="B2159" s="73"/>
    </row>
    <row r="2160" spans="1:2" x14ac:dyDescent="0.25">
      <c r="A2160" s="73"/>
      <c r="B2160" s="73"/>
    </row>
    <row r="2161" spans="1:2" x14ac:dyDescent="0.25">
      <c r="A2161" s="73"/>
      <c r="B2161" s="73"/>
    </row>
    <row r="2162" spans="1:2" x14ac:dyDescent="0.25">
      <c r="A2162" s="73"/>
      <c r="B2162" s="73"/>
    </row>
    <row r="2163" spans="1:2" x14ac:dyDescent="0.25">
      <c r="A2163" s="73"/>
      <c r="B2163" s="73"/>
    </row>
    <row r="2164" spans="1:2" x14ac:dyDescent="0.25">
      <c r="A2164" s="73"/>
      <c r="B2164" s="73"/>
    </row>
    <row r="2165" spans="1:2" x14ac:dyDescent="0.25">
      <c r="A2165" s="73"/>
      <c r="B2165" s="73"/>
    </row>
    <row r="2166" spans="1:2" x14ac:dyDescent="0.25">
      <c r="A2166" s="73"/>
      <c r="B2166" s="73"/>
    </row>
    <row r="2167" spans="1:2" x14ac:dyDescent="0.25">
      <c r="A2167" s="73"/>
      <c r="B2167" s="73"/>
    </row>
    <row r="2168" spans="1:2" x14ac:dyDescent="0.25">
      <c r="A2168" s="73"/>
      <c r="B2168" s="73"/>
    </row>
    <row r="2169" spans="1:2" x14ac:dyDescent="0.25">
      <c r="A2169" s="73"/>
      <c r="B2169" s="73"/>
    </row>
    <row r="2170" spans="1:2" x14ac:dyDescent="0.25">
      <c r="A2170" s="73"/>
      <c r="B2170" s="73"/>
    </row>
    <row r="2171" spans="1:2" x14ac:dyDescent="0.25">
      <c r="A2171" s="73"/>
      <c r="B2171" s="73"/>
    </row>
    <row r="2172" spans="1:2" x14ac:dyDescent="0.25">
      <c r="A2172" s="73"/>
      <c r="B2172" s="73"/>
    </row>
    <row r="2173" spans="1:2" x14ac:dyDescent="0.25">
      <c r="A2173" s="73"/>
      <c r="B2173" s="73"/>
    </row>
    <row r="2174" spans="1:2" x14ac:dyDescent="0.25">
      <c r="A2174" s="73"/>
      <c r="B2174" s="73"/>
    </row>
    <row r="2175" spans="1:2" x14ac:dyDescent="0.25">
      <c r="A2175" s="73"/>
      <c r="B2175" s="73"/>
    </row>
    <row r="2176" spans="1:2" x14ac:dyDescent="0.25">
      <c r="A2176" s="73"/>
      <c r="B2176" s="73"/>
    </row>
    <row r="2177" spans="1:2" x14ac:dyDescent="0.25">
      <c r="A2177" s="73"/>
      <c r="B2177" s="73"/>
    </row>
    <row r="2178" spans="1:2" x14ac:dyDescent="0.25">
      <c r="A2178" s="73"/>
      <c r="B2178" s="73"/>
    </row>
    <row r="2179" spans="1:2" x14ac:dyDescent="0.25">
      <c r="A2179" s="73"/>
      <c r="B2179" s="73"/>
    </row>
    <row r="2180" spans="1:2" x14ac:dyDescent="0.25">
      <c r="A2180" s="73"/>
      <c r="B2180" s="73"/>
    </row>
    <row r="2181" spans="1:2" x14ac:dyDescent="0.25">
      <c r="A2181" s="73"/>
      <c r="B2181" s="73"/>
    </row>
    <row r="2182" spans="1:2" x14ac:dyDescent="0.25">
      <c r="A2182" s="73"/>
      <c r="B2182" s="73"/>
    </row>
    <row r="2183" spans="1:2" x14ac:dyDescent="0.25">
      <c r="A2183" s="73"/>
      <c r="B2183" s="73"/>
    </row>
    <row r="2184" spans="1:2" x14ac:dyDescent="0.25">
      <c r="A2184" s="73"/>
      <c r="B2184" s="73"/>
    </row>
    <row r="2185" spans="1:2" x14ac:dyDescent="0.25">
      <c r="A2185" s="73"/>
      <c r="B2185" s="73"/>
    </row>
    <row r="2186" spans="1:2" x14ac:dyDescent="0.25">
      <c r="A2186" s="73"/>
      <c r="B2186" s="73"/>
    </row>
    <row r="2187" spans="1:2" x14ac:dyDescent="0.25">
      <c r="A2187" s="73"/>
      <c r="B2187" s="73"/>
    </row>
    <row r="2188" spans="1:2" x14ac:dyDescent="0.25">
      <c r="A2188" s="73"/>
      <c r="B2188" s="73"/>
    </row>
    <row r="2189" spans="1:2" x14ac:dyDescent="0.25">
      <c r="A2189" s="73"/>
      <c r="B2189" s="73"/>
    </row>
    <row r="2190" spans="1:2" x14ac:dyDescent="0.25">
      <c r="A2190" s="73"/>
      <c r="B2190" s="73"/>
    </row>
    <row r="2191" spans="1:2" x14ac:dyDescent="0.25">
      <c r="A2191" s="73"/>
      <c r="B2191" s="73"/>
    </row>
    <row r="2192" spans="1:2" x14ac:dyDescent="0.25">
      <c r="A2192" s="73"/>
      <c r="B2192" s="73"/>
    </row>
    <row r="2193" spans="1:2" x14ac:dyDescent="0.25">
      <c r="A2193" s="73"/>
      <c r="B2193" s="73"/>
    </row>
    <row r="2194" spans="1:2" x14ac:dyDescent="0.25">
      <c r="A2194" s="73"/>
      <c r="B2194" s="73"/>
    </row>
    <row r="2195" spans="1:2" x14ac:dyDescent="0.25">
      <c r="A2195" s="73"/>
      <c r="B2195" s="73"/>
    </row>
    <row r="2196" spans="1:2" x14ac:dyDescent="0.25">
      <c r="A2196" s="73"/>
      <c r="B2196" s="73"/>
    </row>
    <row r="2197" spans="1:2" x14ac:dyDescent="0.25">
      <c r="A2197" s="73"/>
      <c r="B2197" s="73"/>
    </row>
    <row r="2198" spans="1:2" x14ac:dyDescent="0.25">
      <c r="A2198" s="73"/>
      <c r="B2198" s="73"/>
    </row>
    <row r="2199" spans="1:2" x14ac:dyDescent="0.25">
      <c r="A2199" s="73"/>
      <c r="B2199" s="73"/>
    </row>
    <row r="2200" spans="1:2" x14ac:dyDescent="0.25">
      <c r="A2200" s="73"/>
      <c r="B2200" s="73"/>
    </row>
    <row r="2201" spans="1:2" x14ac:dyDescent="0.25">
      <c r="A2201" s="73"/>
      <c r="B2201" s="73"/>
    </row>
    <row r="2202" spans="1:2" x14ac:dyDescent="0.25">
      <c r="A2202" s="73"/>
      <c r="B2202" s="73"/>
    </row>
    <row r="2203" spans="1:2" x14ac:dyDescent="0.25">
      <c r="A2203" s="73"/>
      <c r="B2203" s="73"/>
    </row>
    <row r="2204" spans="1:2" x14ac:dyDescent="0.25">
      <c r="A2204" s="73"/>
      <c r="B2204" s="73"/>
    </row>
    <row r="2205" spans="1:2" x14ac:dyDescent="0.25">
      <c r="A2205" s="73"/>
      <c r="B2205" s="73"/>
    </row>
    <row r="2206" spans="1:2" x14ac:dyDescent="0.25">
      <c r="A2206" s="73"/>
      <c r="B2206" s="73"/>
    </row>
    <row r="2207" spans="1:2" x14ac:dyDescent="0.25">
      <c r="A2207" s="73"/>
      <c r="B2207" s="73"/>
    </row>
    <row r="2208" spans="1:2" x14ac:dyDescent="0.25">
      <c r="A2208" s="73"/>
      <c r="B2208" s="73"/>
    </row>
    <row r="2209" spans="1:2" x14ac:dyDescent="0.25">
      <c r="A2209" s="73"/>
      <c r="B2209" s="73"/>
    </row>
    <row r="2210" spans="1:2" x14ac:dyDescent="0.25">
      <c r="A2210" s="73"/>
      <c r="B2210" s="73"/>
    </row>
    <row r="2211" spans="1:2" x14ac:dyDescent="0.25">
      <c r="A2211" s="73"/>
      <c r="B2211" s="73"/>
    </row>
    <row r="2212" spans="1:2" x14ac:dyDescent="0.25">
      <c r="A2212" s="73"/>
      <c r="B2212" s="73"/>
    </row>
    <row r="2213" spans="1:2" x14ac:dyDescent="0.25">
      <c r="A2213" s="73"/>
      <c r="B2213" s="73"/>
    </row>
    <row r="2214" spans="1:2" x14ac:dyDescent="0.25">
      <c r="A2214" s="73"/>
      <c r="B2214" s="73"/>
    </row>
    <row r="2215" spans="1:2" x14ac:dyDescent="0.25">
      <c r="A2215" s="73"/>
      <c r="B2215" s="73"/>
    </row>
    <row r="2216" spans="1:2" x14ac:dyDescent="0.25">
      <c r="A2216" s="73"/>
      <c r="B2216" s="73"/>
    </row>
    <row r="2217" spans="1:2" x14ac:dyDescent="0.25">
      <c r="A2217" s="73"/>
      <c r="B2217" s="73"/>
    </row>
    <row r="2218" spans="1:2" x14ac:dyDescent="0.25">
      <c r="A2218" s="73"/>
      <c r="B2218" s="73"/>
    </row>
    <row r="2219" spans="1:2" x14ac:dyDescent="0.25">
      <c r="A2219" s="73"/>
      <c r="B2219" s="73"/>
    </row>
    <row r="2220" spans="1:2" x14ac:dyDescent="0.25">
      <c r="A2220" s="73"/>
      <c r="B2220" s="73"/>
    </row>
    <row r="2221" spans="1:2" x14ac:dyDescent="0.25">
      <c r="A2221" s="73"/>
      <c r="B2221" s="73"/>
    </row>
    <row r="2222" spans="1:2" x14ac:dyDescent="0.25">
      <c r="A2222" s="73"/>
      <c r="B2222" s="73"/>
    </row>
    <row r="2223" spans="1:2" x14ac:dyDescent="0.25">
      <c r="A2223" s="73"/>
      <c r="B2223" s="73"/>
    </row>
    <row r="2224" spans="1:2" x14ac:dyDescent="0.25">
      <c r="A2224" s="73"/>
      <c r="B2224" s="73"/>
    </row>
    <row r="2225" spans="1:2" x14ac:dyDescent="0.25">
      <c r="A2225" s="73"/>
      <c r="B2225" s="73"/>
    </row>
    <row r="2226" spans="1:2" x14ac:dyDescent="0.25">
      <c r="A2226" s="73"/>
      <c r="B2226" s="73"/>
    </row>
    <row r="2227" spans="1:2" x14ac:dyDescent="0.25">
      <c r="A2227" s="73"/>
      <c r="B2227" s="73"/>
    </row>
    <row r="2228" spans="1:2" x14ac:dyDescent="0.25">
      <c r="A2228" s="73"/>
      <c r="B2228" s="73"/>
    </row>
    <row r="2229" spans="1:2" x14ac:dyDescent="0.25">
      <c r="A2229" s="73"/>
      <c r="B2229" s="73"/>
    </row>
    <row r="2230" spans="1:2" x14ac:dyDescent="0.25">
      <c r="A2230" s="73"/>
      <c r="B2230" s="73"/>
    </row>
    <row r="2231" spans="1:2" x14ac:dyDescent="0.25">
      <c r="A2231" s="73"/>
      <c r="B2231" s="73"/>
    </row>
    <row r="2232" spans="1:2" x14ac:dyDescent="0.25">
      <c r="A2232" s="73"/>
      <c r="B2232" s="73"/>
    </row>
    <row r="2233" spans="1:2" x14ac:dyDescent="0.25">
      <c r="A2233" s="73"/>
      <c r="B2233" s="73"/>
    </row>
    <row r="2234" spans="1:2" x14ac:dyDescent="0.25">
      <c r="A2234" s="73"/>
      <c r="B2234" s="73"/>
    </row>
    <row r="2235" spans="1:2" x14ac:dyDescent="0.25">
      <c r="A2235" s="73"/>
      <c r="B2235" s="73"/>
    </row>
    <row r="2236" spans="1:2" x14ac:dyDescent="0.25">
      <c r="A2236" s="73"/>
      <c r="B2236" s="73"/>
    </row>
    <row r="2237" spans="1:2" x14ac:dyDescent="0.25">
      <c r="A2237" s="73"/>
      <c r="B2237" s="73"/>
    </row>
    <row r="2238" spans="1:2" x14ac:dyDescent="0.25">
      <c r="A2238" s="73"/>
      <c r="B2238" s="73"/>
    </row>
    <row r="2239" spans="1:2" x14ac:dyDescent="0.25">
      <c r="A2239" s="73"/>
      <c r="B2239" s="73"/>
    </row>
    <row r="2240" spans="1:2" x14ac:dyDescent="0.25">
      <c r="A2240" s="73"/>
      <c r="B2240" s="73"/>
    </row>
    <row r="2241" spans="1:2" x14ac:dyDescent="0.25">
      <c r="A2241" s="73"/>
      <c r="B2241" s="73"/>
    </row>
    <row r="2242" spans="1:2" x14ac:dyDescent="0.25">
      <c r="A2242" s="73"/>
      <c r="B2242" s="73"/>
    </row>
    <row r="2243" spans="1:2" x14ac:dyDescent="0.25">
      <c r="A2243" s="73"/>
      <c r="B2243" s="73"/>
    </row>
    <row r="2244" spans="1:2" x14ac:dyDescent="0.25">
      <c r="A2244" s="73"/>
      <c r="B2244" s="73"/>
    </row>
    <row r="2245" spans="1:2" x14ac:dyDescent="0.25">
      <c r="A2245" s="73"/>
      <c r="B2245" s="73"/>
    </row>
    <row r="2246" spans="1:2" x14ac:dyDescent="0.25">
      <c r="A2246" s="73"/>
      <c r="B2246" s="73"/>
    </row>
    <row r="2247" spans="1:2" x14ac:dyDescent="0.25">
      <c r="A2247" s="73"/>
      <c r="B2247" s="73"/>
    </row>
    <row r="2248" spans="1:2" x14ac:dyDescent="0.25">
      <c r="A2248" s="73"/>
      <c r="B2248" s="73"/>
    </row>
    <row r="2249" spans="1:2" x14ac:dyDescent="0.25">
      <c r="A2249" s="73"/>
      <c r="B2249" s="73"/>
    </row>
    <row r="2250" spans="1:2" x14ac:dyDescent="0.25">
      <c r="A2250" s="73"/>
      <c r="B2250" s="73"/>
    </row>
    <row r="2251" spans="1:2" x14ac:dyDescent="0.25">
      <c r="A2251" s="73"/>
      <c r="B2251" s="73"/>
    </row>
    <row r="2252" spans="1:2" x14ac:dyDescent="0.25">
      <c r="A2252" s="73"/>
      <c r="B2252" s="73"/>
    </row>
    <row r="2253" spans="1:2" x14ac:dyDescent="0.25">
      <c r="A2253" s="73"/>
      <c r="B2253" s="73"/>
    </row>
    <row r="2254" spans="1:2" x14ac:dyDescent="0.25">
      <c r="A2254" s="73"/>
      <c r="B2254" s="73"/>
    </row>
    <row r="2255" spans="1:2" x14ac:dyDescent="0.25">
      <c r="A2255" s="73"/>
      <c r="B2255" s="73"/>
    </row>
    <row r="2256" spans="1:2" x14ac:dyDescent="0.25">
      <c r="A2256" s="73"/>
      <c r="B2256" s="73"/>
    </row>
    <row r="2257" spans="1:2" x14ac:dyDescent="0.25">
      <c r="A2257" s="73"/>
      <c r="B2257" s="73"/>
    </row>
    <row r="2258" spans="1:2" x14ac:dyDescent="0.25">
      <c r="A2258" s="73"/>
      <c r="B2258" s="73"/>
    </row>
    <row r="2259" spans="1:2" x14ac:dyDescent="0.25">
      <c r="A2259" s="73"/>
      <c r="B2259" s="73"/>
    </row>
    <row r="2260" spans="1:2" x14ac:dyDescent="0.25">
      <c r="A2260" s="73"/>
      <c r="B2260" s="73"/>
    </row>
    <row r="2261" spans="1:2" x14ac:dyDescent="0.25">
      <c r="A2261" s="73"/>
      <c r="B2261" s="73"/>
    </row>
    <row r="2262" spans="1:2" x14ac:dyDescent="0.25">
      <c r="A2262" s="73"/>
      <c r="B2262" s="73"/>
    </row>
    <row r="2263" spans="1:2" x14ac:dyDescent="0.25">
      <c r="A2263" s="73"/>
      <c r="B2263" s="73"/>
    </row>
    <row r="2264" spans="1:2" x14ac:dyDescent="0.25">
      <c r="A2264" s="73"/>
      <c r="B2264" s="73"/>
    </row>
    <row r="2265" spans="1:2" x14ac:dyDescent="0.25">
      <c r="A2265" s="73"/>
      <c r="B2265" s="73"/>
    </row>
    <row r="2266" spans="1:2" x14ac:dyDescent="0.25">
      <c r="A2266" s="73"/>
      <c r="B2266" s="73"/>
    </row>
    <row r="2267" spans="1:2" x14ac:dyDescent="0.25">
      <c r="A2267" s="73"/>
      <c r="B2267" s="73"/>
    </row>
    <row r="2268" spans="1:2" x14ac:dyDescent="0.25">
      <c r="A2268" s="73"/>
      <c r="B2268" s="73"/>
    </row>
    <row r="2269" spans="1:2" x14ac:dyDescent="0.25">
      <c r="A2269" s="73"/>
      <c r="B2269" s="73"/>
    </row>
    <row r="2270" spans="1:2" x14ac:dyDescent="0.25">
      <c r="A2270" s="73"/>
      <c r="B2270" s="73"/>
    </row>
    <row r="2271" spans="1:2" x14ac:dyDescent="0.25">
      <c r="A2271" s="73"/>
      <c r="B2271" s="73"/>
    </row>
    <row r="2272" spans="1:2" x14ac:dyDescent="0.25">
      <c r="A2272" s="73"/>
      <c r="B2272" s="73"/>
    </row>
    <row r="2273" spans="1:2" x14ac:dyDescent="0.25">
      <c r="A2273" s="73"/>
      <c r="B2273" s="73"/>
    </row>
    <row r="2274" spans="1:2" x14ac:dyDescent="0.25">
      <c r="A2274" s="73"/>
      <c r="B2274" s="73"/>
    </row>
    <row r="2275" spans="1:2" x14ac:dyDescent="0.25">
      <c r="A2275" s="73"/>
      <c r="B2275" s="73"/>
    </row>
    <row r="2276" spans="1:2" x14ac:dyDescent="0.25">
      <c r="A2276" s="73"/>
      <c r="B2276" s="73"/>
    </row>
    <row r="2277" spans="1:2" x14ac:dyDescent="0.25">
      <c r="A2277" s="73"/>
      <c r="B2277" s="73"/>
    </row>
    <row r="2278" spans="1:2" x14ac:dyDescent="0.25">
      <c r="A2278" s="73"/>
      <c r="B2278" s="73"/>
    </row>
    <row r="2279" spans="1:2" x14ac:dyDescent="0.25">
      <c r="A2279" s="73"/>
      <c r="B2279" s="73"/>
    </row>
    <row r="2280" spans="1:2" x14ac:dyDescent="0.25">
      <c r="A2280" s="73"/>
      <c r="B2280" s="73"/>
    </row>
    <row r="2281" spans="1:2" x14ac:dyDescent="0.25">
      <c r="A2281" s="73"/>
      <c r="B2281" s="73"/>
    </row>
    <row r="2282" spans="1:2" x14ac:dyDescent="0.25">
      <c r="A2282" s="73"/>
      <c r="B2282" s="73"/>
    </row>
    <row r="2283" spans="1:2" x14ac:dyDescent="0.25">
      <c r="A2283" s="73"/>
      <c r="B2283" s="73"/>
    </row>
    <row r="2284" spans="1:2" x14ac:dyDescent="0.25">
      <c r="A2284" s="73"/>
      <c r="B2284" s="73"/>
    </row>
    <row r="2285" spans="1:2" x14ac:dyDescent="0.25">
      <c r="A2285" s="73"/>
      <c r="B2285" s="73"/>
    </row>
    <row r="2286" spans="1:2" x14ac:dyDescent="0.25">
      <c r="A2286" s="73"/>
      <c r="B2286" s="73"/>
    </row>
    <row r="2287" spans="1:2" x14ac:dyDescent="0.25">
      <c r="A2287" s="73"/>
      <c r="B2287" s="73"/>
    </row>
    <row r="2288" spans="1:2" x14ac:dyDescent="0.25">
      <c r="A2288" s="73"/>
      <c r="B2288" s="73"/>
    </row>
    <row r="2289" spans="1:2" x14ac:dyDescent="0.25">
      <c r="A2289" s="73"/>
      <c r="B2289" s="73"/>
    </row>
    <row r="2290" spans="1:2" x14ac:dyDescent="0.25">
      <c r="A2290" s="73"/>
      <c r="B2290" s="73"/>
    </row>
    <row r="2291" spans="1:2" x14ac:dyDescent="0.25">
      <c r="A2291" s="73"/>
      <c r="B2291" s="73"/>
    </row>
    <row r="2292" spans="1:2" x14ac:dyDescent="0.25">
      <c r="A2292" s="73"/>
      <c r="B2292" s="73"/>
    </row>
    <row r="2293" spans="1:2" x14ac:dyDescent="0.25">
      <c r="A2293" s="73"/>
      <c r="B2293" s="73"/>
    </row>
    <row r="2294" spans="1:2" x14ac:dyDescent="0.25">
      <c r="A2294" s="73"/>
      <c r="B2294" s="73"/>
    </row>
    <row r="2295" spans="1:2" x14ac:dyDescent="0.25">
      <c r="A2295" s="73"/>
      <c r="B2295" s="73"/>
    </row>
    <row r="2296" spans="1:2" x14ac:dyDescent="0.25">
      <c r="A2296" s="73"/>
      <c r="B2296" s="73"/>
    </row>
    <row r="2297" spans="1:2" x14ac:dyDescent="0.25">
      <c r="A2297" s="73"/>
      <c r="B2297" s="73"/>
    </row>
    <row r="2298" spans="1:2" x14ac:dyDescent="0.25">
      <c r="A2298" s="73"/>
      <c r="B2298" s="73"/>
    </row>
    <row r="2299" spans="1:2" x14ac:dyDescent="0.25">
      <c r="A2299" s="73"/>
      <c r="B2299" s="73"/>
    </row>
    <row r="2300" spans="1:2" x14ac:dyDescent="0.25">
      <c r="A2300" s="73"/>
      <c r="B2300" s="73"/>
    </row>
    <row r="2301" spans="1:2" x14ac:dyDescent="0.25">
      <c r="A2301" s="73"/>
      <c r="B2301" s="73"/>
    </row>
    <row r="2302" spans="1:2" x14ac:dyDescent="0.25">
      <c r="A2302" s="73"/>
      <c r="B2302" s="73"/>
    </row>
    <row r="2303" spans="1:2" x14ac:dyDescent="0.25">
      <c r="A2303" s="73"/>
      <c r="B2303" s="73"/>
    </row>
    <row r="2304" spans="1:2" x14ac:dyDescent="0.25">
      <c r="A2304" s="73"/>
      <c r="B2304" s="73"/>
    </row>
    <row r="2305" spans="1:2" x14ac:dyDescent="0.25">
      <c r="A2305" s="73"/>
      <c r="B2305" s="73"/>
    </row>
    <row r="2306" spans="1:2" x14ac:dyDescent="0.25">
      <c r="A2306" s="73"/>
      <c r="B2306" s="73"/>
    </row>
    <row r="2307" spans="1:2" x14ac:dyDescent="0.25">
      <c r="A2307" s="73"/>
      <c r="B2307" s="73"/>
    </row>
    <row r="2308" spans="1:2" x14ac:dyDescent="0.25">
      <c r="A2308" s="73"/>
      <c r="B2308" s="73"/>
    </row>
    <row r="2309" spans="1:2" x14ac:dyDescent="0.25">
      <c r="A2309" s="73"/>
      <c r="B2309" s="73"/>
    </row>
    <row r="2310" spans="1:2" x14ac:dyDescent="0.25">
      <c r="A2310" s="73"/>
      <c r="B2310" s="73"/>
    </row>
    <row r="2311" spans="1:2" x14ac:dyDescent="0.25">
      <c r="A2311" s="73"/>
      <c r="B2311" s="73"/>
    </row>
    <row r="2312" spans="1:2" x14ac:dyDescent="0.25">
      <c r="A2312" s="73"/>
      <c r="B2312" s="73"/>
    </row>
    <row r="2313" spans="1:2" x14ac:dyDescent="0.25">
      <c r="A2313" s="73"/>
      <c r="B2313" s="73"/>
    </row>
    <row r="2314" spans="1:2" x14ac:dyDescent="0.25">
      <c r="A2314" s="73"/>
      <c r="B2314" s="73"/>
    </row>
    <row r="2315" spans="1:2" x14ac:dyDescent="0.25">
      <c r="A2315" s="73"/>
      <c r="B2315" s="73"/>
    </row>
    <row r="2316" spans="1:2" x14ac:dyDescent="0.25">
      <c r="A2316" s="73"/>
      <c r="B2316" s="73"/>
    </row>
    <row r="2317" spans="1:2" x14ac:dyDescent="0.25">
      <c r="A2317" s="73"/>
      <c r="B2317" s="73"/>
    </row>
    <row r="2318" spans="1:2" x14ac:dyDescent="0.25">
      <c r="A2318" s="73"/>
      <c r="B2318" s="73"/>
    </row>
    <row r="2319" spans="1:2" x14ac:dyDescent="0.25">
      <c r="A2319" s="73"/>
      <c r="B2319" s="73"/>
    </row>
    <row r="2320" spans="1:2" x14ac:dyDescent="0.25">
      <c r="A2320" s="73"/>
      <c r="B2320" s="73"/>
    </row>
    <row r="2321" spans="1:2" x14ac:dyDescent="0.25">
      <c r="A2321" s="73"/>
      <c r="B2321" s="73"/>
    </row>
    <row r="2322" spans="1:2" x14ac:dyDescent="0.25">
      <c r="A2322" s="73"/>
      <c r="B2322" s="73"/>
    </row>
    <row r="2323" spans="1:2" x14ac:dyDescent="0.25">
      <c r="A2323" s="73"/>
      <c r="B2323" s="73"/>
    </row>
    <row r="2324" spans="1:2" x14ac:dyDescent="0.25">
      <c r="A2324" s="73"/>
      <c r="B2324" s="73"/>
    </row>
    <row r="2325" spans="1:2" x14ac:dyDescent="0.25">
      <c r="A2325" s="73"/>
      <c r="B2325" s="73"/>
    </row>
    <row r="2326" spans="1:2" x14ac:dyDescent="0.25">
      <c r="A2326" s="73"/>
      <c r="B2326" s="73"/>
    </row>
    <row r="2327" spans="1:2" x14ac:dyDescent="0.25">
      <c r="A2327" s="73"/>
      <c r="B2327" s="73"/>
    </row>
    <row r="2328" spans="1:2" x14ac:dyDescent="0.25">
      <c r="A2328" s="73"/>
      <c r="B2328" s="73"/>
    </row>
    <row r="2329" spans="1:2" x14ac:dyDescent="0.25">
      <c r="A2329" s="73"/>
      <c r="B2329" s="73"/>
    </row>
    <row r="2330" spans="1:2" x14ac:dyDescent="0.25">
      <c r="A2330" s="73"/>
      <c r="B2330" s="73"/>
    </row>
    <row r="2331" spans="1:2" x14ac:dyDescent="0.25">
      <c r="A2331" s="73"/>
      <c r="B2331" s="73"/>
    </row>
    <row r="2332" spans="1:2" x14ac:dyDescent="0.25">
      <c r="A2332" s="73"/>
      <c r="B2332" s="73"/>
    </row>
    <row r="2333" spans="1:2" x14ac:dyDescent="0.25">
      <c r="A2333" s="73"/>
      <c r="B2333" s="73"/>
    </row>
    <row r="2334" spans="1:2" x14ac:dyDescent="0.25">
      <c r="A2334" s="73"/>
      <c r="B2334" s="73"/>
    </row>
    <row r="2335" spans="1:2" x14ac:dyDescent="0.25">
      <c r="A2335" s="73"/>
      <c r="B2335" s="73"/>
    </row>
    <row r="2336" spans="1:2" x14ac:dyDescent="0.25">
      <c r="A2336" s="73"/>
      <c r="B2336" s="73"/>
    </row>
    <row r="2337" spans="1:2" x14ac:dyDescent="0.25">
      <c r="A2337" s="73"/>
      <c r="B2337" s="73"/>
    </row>
    <row r="2338" spans="1:2" x14ac:dyDescent="0.25">
      <c r="A2338" s="73"/>
      <c r="B2338" s="73"/>
    </row>
    <row r="2339" spans="1:2" x14ac:dyDescent="0.25">
      <c r="A2339" s="73"/>
      <c r="B2339" s="73"/>
    </row>
    <row r="2340" spans="1:2" x14ac:dyDescent="0.25">
      <c r="A2340" s="73"/>
      <c r="B2340" s="73"/>
    </row>
    <row r="2341" spans="1:2" x14ac:dyDescent="0.25">
      <c r="A2341" s="73"/>
      <c r="B2341" s="73"/>
    </row>
    <row r="2342" spans="1:2" x14ac:dyDescent="0.25">
      <c r="A2342" s="73"/>
      <c r="B2342" s="73"/>
    </row>
    <row r="2343" spans="1:2" x14ac:dyDescent="0.25">
      <c r="A2343" s="73"/>
      <c r="B2343" s="73"/>
    </row>
    <row r="2344" spans="1:2" x14ac:dyDescent="0.25">
      <c r="A2344" s="73"/>
      <c r="B2344" s="73"/>
    </row>
    <row r="2345" spans="1:2" x14ac:dyDescent="0.25">
      <c r="A2345" s="73"/>
      <c r="B2345" s="73"/>
    </row>
    <row r="2346" spans="1:2" x14ac:dyDescent="0.25">
      <c r="A2346" s="73"/>
      <c r="B2346" s="73"/>
    </row>
    <row r="2347" spans="1:2" x14ac:dyDescent="0.25">
      <c r="A2347" s="73"/>
      <c r="B2347" s="73"/>
    </row>
    <row r="2348" spans="1:2" x14ac:dyDescent="0.25">
      <c r="A2348" s="73"/>
      <c r="B2348" s="73"/>
    </row>
    <row r="2349" spans="1:2" x14ac:dyDescent="0.25">
      <c r="A2349" s="73"/>
      <c r="B2349" s="73"/>
    </row>
    <row r="2350" spans="1:2" x14ac:dyDescent="0.25">
      <c r="A2350" s="73"/>
      <c r="B2350" s="73"/>
    </row>
    <row r="2351" spans="1:2" x14ac:dyDescent="0.25">
      <c r="A2351" s="73"/>
      <c r="B2351" s="73"/>
    </row>
    <row r="2352" spans="1:2" x14ac:dyDescent="0.25">
      <c r="A2352" s="73"/>
      <c r="B2352" s="73"/>
    </row>
    <row r="2353" spans="1:2" x14ac:dyDescent="0.25">
      <c r="A2353" s="73"/>
      <c r="B2353" s="73"/>
    </row>
    <row r="2354" spans="1:2" x14ac:dyDescent="0.25">
      <c r="A2354" s="73"/>
      <c r="B2354" s="73"/>
    </row>
    <row r="2355" spans="1:2" x14ac:dyDescent="0.25">
      <c r="A2355" s="73"/>
      <c r="B2355" s="73"/>
    </row>
    <row r="2356" spans="1:2" x14ac:dyDescent="0.25">
      <c r="A2356" s="73"/>
      <c r="B2356" s="73"/>
    </row>
    <row r="2357" spans="1:2" x14ac:dyDescent="0.25">
      <c r="A2357" s="73"/>
      <c r="B2357" s="73"/>
    </row>
    <row r="2358" spans="1:2" x14ac:dyDescent="0.25">
      <c r="A2358" s="73"/>
      <c r="B2358" s="73"/>
    </row>
    <row r="2359" spans="1:2" x14ac:dyDescent="0.25">
      <c r="A2359" s="73"/>
      <c r="B2359" s="73"/>
    </row>
    <row r="2360" spans="1:2" x14ac:dyDescent="0.25">
      <c r="A2360" s="73"/>
      <c r="B2360" s="73"/>
    </row>
    <row r="2361" spans="1:2" x14ac:dyDescent="0.25">
      <c r="A2361" s="73"/>
      <c r="B2361" s="73"/>
    </row>
    <row r="2362" spans="1:2" x14ac:dyDescent="0.25">
      <c r="A2362" s="73"/>
      <c r="B2362" s="73"/>
    </row>
    <row r="2363" spans="1:2" x14ac:dyDescent="0.25">
      <c r="A2363" s="73"/>
      <c r="B2363" s="73"/>
    </row>
    <row r="2364" spans="1:2" x14ac:dyDescent="0.25">
      <c r="A2364" s="73"/>
      <c r="B2364" s="73"/>
    </row>
    <row r="2365" spans="1:2" x14ac:dyDescent="0.25">
      <c r="A2365" s="73"/>
      <c r="B2365" s="73"/>
    </row>
    <row r="2366" spans="1:2" x14ac:dyDescent="0.25">
      <c r="A2366" s="73"/>
      <c r="B2366" s="73"/>
    </row>
    <row r="2367" spans="1:2" x14ac:dyDescent="0.25">
      <c r="A2367" s="73"/>
      <c r="B2367" s="73"/>
    </row>
    <row r="2368" spans="1:2" x14ac:dyDescent="0.25">
      <c r="A2368" s="73"/>
      <c r="B2368" s="73"/>
    </row>
    <row r="2369" spans="1:2" x14ac:dyDescent="0.25">
      <c r="A2369" s="73"/>
      <c r="B2369" s="73"/>
    </row>
    <row r="2370" spans="1:2" x14ac:dyDescent="0.25">
      <c r="A2370" s="73"/>
      <c r="B2370" s="73"/>
    </row>
    <row r="2371" spans="1:2" x14ac:dyDescent="0.25">
      <c r="A2371" s="73"/>
      <c r="B2371" s="73"/>
    </row>
    <row r="2372" spans="1:2" x14ac:dyDescent="0.25">
      <c r="A2372" s="73"/>
      <c r="B2372" s="73"/>
    </row>
    <row r="2373" spans="1:2" x14ac:dyDescent="0.25">
      <c r="A2373" s="73"/>
      <c r="B2373" s="73"/>
    </row>
    <row r="2374" spans="1:2" x14ac:dyDescent="0.25">
      <c r="A2374" s="73"/>
      <c r="B2374" s="73"/>
    </row>
    <row r="2375" spans="1:2" x14ac:dyDescent="0.25">
      <c r="A2375" s="73"/>
      <c r="B2375" s="73"/>
    </row>
    <row r="2376" spans="1:2" x14ac:dyDescent="0.25">
      <c r="A2376" s="73"/>
      <c r="B2376" s="73"/>
    </row>
    <row r="2377" spans="1:2" x14ac:dyDescent="0.25">
      <c r="A2377" s="73"/>
      <c r="B2377" s="73"/>
    </row>
    <row r="2378" spans="1:2" x14ac:dyDescent="0.25">
      <c r="A2378" s="73"/>
      <c r="B2378" s="73"/>
    </row>
    <row r="2379" spans="1:2" x14ac:dyDescent="0.25">
      <c r="A2379" s="73"/>
      <c r="B2379" s="73"/>
    </row>
    <row r="2380" spans="1:2" x14ac:dyDescent="0.25">
      <c r="A2380" s="73"/>
      <c r="B2380" s="73"/>
    </row>
    <row r="2381" spans="1:2" x14ac:dyDescent="0.25">
      <c r="A2381" s="73"/>
      <c r="B2381" s="73"/>
    </row>
    <row r="2382" spans="1:2" x14ac:dyDescent="0.25">
      <c r="A2382" s="73"/>
      <c r="B2382" s="73"/>
    </row>
    <row r="2383" spans="1:2" x14ac:dyDescent="0.25">
      <c r="A2383" s="73"/>
      <c r="B2383" s="73"/>
    </row>
    <row r="2384" spans="1:2" x14ac:dyDescent="0.25">
      <c r="A2384" s="73"/>
      <c r="B2384" s="73"/>
    </row>
    <row r="2385" spans="1:2" x14ac:dyDescent="0.25">
      <c r="A2385" s="73"/>
      <c r="B2385" s="73"/>
    </row>
    <row r="2386" spans="1:2" x14ac:dyDescent="0.25">
      <c r="A2386" s="73"/>
      <c r="B2386" s="73"/>
    </row>
    <row r="2387" spans="1:2" x14ac:dyDescent="0.25">
      <c r="A2387" s="73"/>
      <c r="B2387" s="73"/>
    </row>
    <row r="2388" spans="1:2" x14ac:dyDescent="0.25">
      <c r="A2388" s="73"/>
      <c r="B2388" s="73"/>
    </row>
    <row r="2389" spans="1:2" x14ac:dyDescent="0.25">
      <c r="A2389" s="73"/>
      <c r="B2389" s="73"/>
    </row>
    <row r="2390" spans="1:2" x14ac:dyDescent="0.25">
      <c r="A2390" s="73"/>
      <c r="B2390" s="73"/>
    </row>
    <row r="2391" spans="1:2" x14ac:dyDescent="0.25">
      <c r="A2391" s="73"/>
      <c r="B2391" s="73"/>
    </row>
    <row r="2392" spans="1:2" x14ac:dyDescent="0.25">
      <c r="A2392" s="73"/>
      <c r="B2392" s="73"/>
    </row>
    <row r="2393" spans="1:2" x14ac:dyDescent="0.25">
      <c r="A2393" s="73"/>
      <c r="B2393" s="73"/>
    </row>
    <row r="2394" spans="1:2" x14ac:dyDescent="0.25">
      <c r="A2394" s="73"/>
      <c r="B2394" s="73"/>
    </row>
    <row r="2395" spans="1:2" x14ac:dyDescent="0.25">
      <c r="A2395" s="73"/>
      <c r="B2395" s="73"/>
    </row>
    <row r="2396" spans="1:2" x14ac:dyDescent="0.25">
      <c r="A2396" s="73"/>
      <c r="B2396" s="73"/>
    </row>
    <row r="2397" spans="1:2" x14ac:dyDescent="0.25">
      <c r="A2397" s="73"/>
      <c r="B2397" s="73"/>
    </row>
    <row r="2398" spans="1:2" x14ac:dyDescent="0.25">
      <c r="A2398" s="73"/>
      <c r="B2398" s="73"/>
    </row>
    <row r="2399" spans="1:2" x14ac:dyDescent="0.25">
      <c r="A2399" s="73"/>
      <c r="B2399" s="73"/>
    </row>
    <row r="2400" spans="1:2" x14ac:dyDescent="0.25">
      <c r="A2400" s="73"/>
      <c r="B2400" s="73"/>
    </row>
    <row r="2401" spans="1:2" x14ac:dyDescent="0.25">
      <c r="A2401" s="73"/>
      <c r="B2401" s="73"/>
    </row>
    <row r="2402" spans="1:2" x14ac:dyDescent="0.25">
      <c r="A2402" s="73"/>
      <c r="B2402" s="73"/>
    </row>
    <row r="2403" spans="1:2" x14ac:dyDescent="0.25">
      <c r="A2403" s="73"/>
      <c r="B2403" s="73"/>
    </row>
    <row r="2404" spans="1:2" x14ac:dyDescent="0.25">
      <c r="A2404" s="73"/>
      <c r="B2404" s="73"/>
    </row>
    <row r="2405" spans="1:2" x14ac:dyDescent="0.25">
      <c r="A2405" s="73"/>
      <c r="B2405" s="73"/>
    </row>
    <row r="2406" spans="1:2" x14ac:dyDescent="0.25">
      <c r="A2406" s="73"/>
      <c r="B2406" s="73"/>
    </row>
    <row r="2407" spans="1:2" x14ac:dyDescent="0.25">
      <c r="A2407" s="73"/>
      <c r="B2407" s="73"/>
    </row>
    <row r="2408" spans="1:2" x14ac:dyDescent="0.25">
      <c r="A2408" s="73"/>
      <c r="B2408" s="73"/>
    </row>
    <row r="2409" spans="1:2" x14ac:dyDescent="0.25">
      <c r="A2409" s="73"/>
      <c r="B2409" s="73"/>
    </row>
    <row r="2410" spans="1:2" x14ac:dyDescent="0.25">
      <c r="A2410" s="73"/>
      <c r="B2410" s="73"/>
    </row>
    <row r="2411" spans="1:2" x14ac:dyDescent="0.25">
      <c r="A2411" s="73"/>
      <c r="B2411" s="73"/>
    </row>
    <row r="2412" spans="1:2" x14ac:dyDescent="0.25">
      <c r="A2412" s="73"/>
      <c r="B2412" s="73"/>
    </row>
    <row r="2413" spans="1:2" x14ac:dyDescent="0.25">
      <c r="A2413" s="73"/>
      <c r="B2413" s="73"/>
    </row>
    <row r="2414" spans="1:2" x14ac:dyDescent="0.25">
      <c r="A2414" s="73"/>
      <c r="B2414" s="73"/>
    </row>
    <row r="2415" spans="1:2" x14ac:dyDescent="0.25">
      <c r="A2415" s="73"/>
      <c r="B2415" s="73"/>
    </row>
    <row r="2416" spans="1:2" x14ac:dyDescent="0.25">
      <c r="A2416" s="73"/>
      <c r="B2416" s="73"/>
    </row>
    <row r="2417" spans="1:2" x14ac:dyDescent="0.25">
      <c r="A2417" s="73"/>
      <c r="B2417" s="73"/>
    </row>
    <row r="2418" spans="1:2" x14ac:dyDescent="0.25">
      <c r="A2418" s="73"/>
      <c r="B2418" s="73"/>
    </row>
    <row r="2419" spans="1:2" x14ac:dyDescent="0.25">
      <c r="A2419" s="73"/>
      <c r="B2419" s="73"/>
    </row>
    <row r="2420" spans="1:2" x14ac:dyDescent="0.25">
      <c r="A2420" s="73"/>
      <c r="B2420" s="73"/>
    </row>
    <row r="2421" spans="1:2" x14ac:dyDescent="0.25">
      <c r="A2421" s="73"/>
      <c r="B2421" s="73"/>
    </row>
    <row r="2422" spans="1:2" x14ac:dyDescent="0.25">
      <c r="A2422" s="73"/>
      <c r="B2422" s="73"/>
    </row>
    <row r="2423" spans="1:2" x14ac:dyDescent="0.25">
      <c r="A2423" s="73"/>
      <c r="B2423" s="73"/>
    </row>
    <row r="2424" spans="1:2" x14ac:dyDescent="0.25">
      <c r="A2424" s="73"/>
      <c r="B2424" s="73"/>
    </row>
    <row r="2425" spans="1:2" x14ac:dyDescent="0.25">
      <c r="A2425" s="73"/>
      <c r="B2425" s="73"/>
    </row>
    <row r="2426" spans="1:2" x14ac:dyDescent="0.25">
      <c r="A2426" s="73"/>
      <c r="B2426" s="73"/>
    </row>
    <row r="2427" spans="1:2" x14ac:dyDescent="0.25">
      <c r="A2427" s="73"/>
      <c r="B2427" s="73"/>
    </row>
    <row r="2428" spans="1:2" x14ac:dyDescent="0.25">
      <c r="A2428" s="73"/>
      <c r="B2428" s="73"/>
    </row>
    <row r="2429" spans="1:2" x14ac:dyDescent="0.25">
      <c r="A2429" s="73"/>
      <c r="B2429" s="73"/>
    </row>
    <row r="2430" spans="1:2" x14ac:dyDescent="0.25">
      <c r="A2430" s="73"/>
      <c r="B2430" s="73"/>
    </row>
    <row r="2431" spans="1:2" x14ac:dyDescent="0.25">
      <c r="A2431" s="73"/>
      <c r="B2431" s="73"/>
    </row>
    <row r="2432" spans="1:2" x14ac:dyDescent="0.25">
      <c r="A2432" s="73"/>
      <c r="B2432" s="73"/>
    </row>
    <row r="2433" spans="1:2" x14ac:dyDescent="0.25">
      <c r="A2433" s="73"/>
      <c r="B2433" s="73"/>
    </row>
    <row r="2434" spans="1:2" x14ac:dyDescent="0.25">
      <c r="A2434" s="73"/>
      <c r="B2434" s="73"/>
    </row>
    <row r="2435" spans="1:2" x14ac:dyDescent="0.25">
      <c r="A2435" s="73"/>
      <c r="B2435" s="73"/>
    </row>
    <row r="2436" spans="1:2" x14ac:dyDescent="0.25">
      <c r="A2436" s="73"/>
      <c r="B2436" s="73"/>
    </row>
    <row r="2437" spans="1:2" x14ac:dyDescent="0.25">
      <c r="A2437" s="73"/>
      <c r="B2437" s="73"/>
    </row>
    <row r="2438" spans="1:2" x14ac:dyDescent="0.25">
      <c r="A2438" s="73"/>
      <c r="B2438" s="73"/>
    </row>
    <row r="2439" spans="1:2" x14ac:dyDescent="0.25">
      <c r="A2439" s="73"/>
      <c r="B2439" s="73"/>
    </row>
    <row r="2440" spans="1:2" x14ac:dyDescent="0.25">
      <c r="A2440" s="73"/>
      <c r="B2440" s="73"/>
    </row>
    <row r="2441" spans="1:2" x14ac:dyDescent="0.25">
      <c r="A2441" s="73"/>
      <c r="B2441" s="73"/>
    </row>
    <row r="2442" spans="1:2" x14ac:dyDescent="0.25">
      <c r="A2442" s="73"/>
      <c r="B2442" s="73"/>
    </row>
    <row r="2443" spans="1:2" x14ac:dyDescent="0.25">
      <c r="A2443" s="73"/>
      <c r="B2443" s="73"/>
    </row>
    <row r="2444" spans="1:2" x14ac:dyDescent="0.25">
      <c r="A2444" s="73"/>
      <c r="B2444" s="73"/>
    </row>
    <row r="2445" spans="1:2" x14ac:dyDescent="0.25">
      <c r="A2445" s="73"/>
      <c r="B2445" s="73"/>
    </row>
    <row r="2446" spans="1:2" x14ac:dyDescent="0.25">
      <c r="A2446" s="73"/>
      <c r="B2446" s="73"/>
    </row>
    <row r="2447" spans="1:2" x14ac:dyDescent="0.25">
      <c r="A2447" s="73"/>
      <c r="B2447" s="73"/>
    </row>
    <row r="2448" spans="1:2" x14ac:dyDescent="0.25">
      <c r="A2448" s="73"/>
      <c r="B2448" s="73"/>
    </row>
    <row r="2449" spans="1:2" x14ac:dyDescent="0.25">
      <c r="A2449" s="73"/>
      <c r="B2449" s="73"/>
    </row>
    <row r="2450" spans="1:2" x14ac:dyDescent="0.25">
      <c r="A2450" s="73"/>
      <c r="B2450" s="73"/>
    </row>
    <row r="2451" spans="1:2" x14ac:dyDescent="0.25">
      <c r="A2451" s="73"/>
      <c r="B2451" s="73"/>
    </row>
    <row r="2452" spans="1:2" x14ac:dyDescent="0.25">
      <c r="A2452" s="73"/>
      <c r="B2452" s="73"/>
    </row>
    <row r="2453" spans="1:2" x14ac:dyDescent="0.25">
      <c r="A2453" s="73"/>
      <c r="B2453" s="73"/>
    </row>
    <row r="2454" spans="1:2" x14ac:dyDescent="0.25">
      <c r="A2454" s="73"/>
      <c r="B2454" s="73"/>
    </row>
    <row r="2455" spans="1:2" x14ac:dyDescent="0.25">
      <c r="A2455" s="73"/>
      <c r="B2455" s="73"/>
    </row>
    <row r="2456" spans="1:2" x14ac:dyDescent="0.25">
      <c r="A2456" s="73"/>
      <c r="B2456" s="73"/>
    </row>
    <row r="2457" spans="1:2" x14ac:dyDescent="0.25">
      <c r="A2457" s="73"/>
      <c r="B2457" s="73"/>
    </row>
    <row r="2458" spans="1:2" x14ac:dyDescent="0.25">
      <c r="A2458" s="73"/>
      <c r="B2458" s="73"/>
    </row>
    <row r="2459" spans="1:2" x14ac:dyDescent="0.25">
      <c r="A2459" s="73"/>
      <c r="B2459" s="73"/>
    </row>
    <row r="2460" spans="1:2" x14ac:dyDescent="0.25">
      <c r="A2460" s="73"/>
      <c r="B2460" s="73"/>
    </row>
    <row r="2461" spans="1:2" x14ac:dyDescent="0.25">
      <c r="A2461" s="73"/>
      <c r="B2461" s="73"/>
    </row>
    <row r="2462" spans="1:2" x14ac:dyDescent="0.25">
      <c r="A2462" s="73"/>
      <c r="B2462" s="73"/>
    </row>
    <row r="2463" spans="1:2" x14ac:dyDescent="0.25">
      <c r="A2463" s="73"/>
      <c r="B2463" s="73"/>
    </row>
    <row r="2464" spans="1:2" x14ac:dyDescent="0.25">
      <c r="A2464" s="73"/>
      <c r="B2464" s="73"/>
    </row>
    <row r="2465" spans="1:2" x14ac:dyDescent="0.25">
      <c r="A2465" s="73"/>
      <c r="B2465" s="73"/>
    </row>
    <row r="2466" spans="1:2" x14ac:dyDescent="0.25">
      <c r="A2466" s="73"/>
      <c r="B2466" s="73"/>
    </row>
    <row r="2467" spans="1:2" x14ac:dyDescent="0.25">
      <c r="A2467" s="73"/>
      <c r="B2467" s="73"/>
    </row>
    <row r="2468" spans="1:2" x14ac:dyDescent="0.25">
      <c r="A2468" s="73"/>
      <c r="B2468" s="73"/>
    </row>
    <row r="2469" spans="1:2" x14ac:dyDescent="0.25">
      <c r="A2469" s="73"/>
      <c r="B2469" s="73"/>
    </row>
    <row r="2470" spans="1:2" x14ac:dyDescent="0.25">
      <c r="A2470" s="73"/>
      <c r="B2470" s="73"/>
    </row>
    <row r="2471" spans="1:2" x14ac:dyDescent="0.25">
      <c r="A2471" s="73"/>
      <c r="B2471" s="73"/>
    </row>
    <row r="2472" spans="1:2" x14ac:dyDescent="0.25">
      <c r="A2472" s="73"/>
      <c r="B2472" s="73"/>
    </row>
    <row r="2473" spans="1:2" x14ac:dyDescent="0.25">
      <c r="A2473" s="73"/>
      <c r="B2473" s="73"/>
    </row>
    <row r="2474" spans="1:2" x14ac:dyDescent="0.25">
      <c r="A2474" s="73"/>
      <c r="B2474" s="73"/>
    </row>
    <row r="2475" spans="1:2" x14ac:dyDescent="0.25">
      <c r="A2475" s="73"/>
      <c r="B2475" s="73"/>
    </row>
    <row r="2476" spans="1:2" x14ac:dyDescent="0.25">
      <c r="A2476" s="73"/>
      <c r="B2476" s="73"/>
    </row>
    <row r="2477" spans="1:2" x14ac:dyDescent="0.25">
      <c r="A2477" s="73"/>
      <c r="B2477" s="73"/>
    </row>
    <row r="2478" spans="1:2" x14ac:dyDescent="0.25">
      <c r="A2478" s="73"/>
      <c r="B2478" s="73"/>
    </row>
    <row r="2479" spans="1:2" x14ac:dyDescent="0.25">
      <c r="A2479" s="73"/>
      <c r="B2479" s="73"/>
    </row>
    <row r="2480" spans="1:2" x14ac:dyDescent="0.25">
      <c r="A2480" s="73"/>
      <c r="B2480" s="73"/>
    </row>
    <row r="2481" spans="1:2" x14ac:dyDescent="0.25">
      <c r="A2481" s="73"/>
      <c r="B2481" s="73"/>
    </row>
    <row r="2482" spans="1:2" x14ac:dyDescent="0.25">
      <c r="A2482" s="73"/>
      <c r="B2482" s="73"/>
    </row>
    <row r="2483" spans="1:2" x14ac:dyDescent="0.25">
      <c r="A2483" s="73"/>
      <c r="B2483" s="73"/>
    </row>
    <row r="2484" spans="1:2" x14ac:dyDescent="0.25">
      <c r="A2484" s="73"/>
      <c r="B2484" s="73"/>
    </row>
    <row r="2485" spans="1:2" x14ac:dyDescent="0.25">
      <c r="A2485" s="73"/>
      <c r="B2485" s="73"/>
    </row>
    <row r="2486" spans="1:2" x14ac:dyDescent="0.25">
      <c r="A2486" s="73"/>
      <c r="B2486" s="73"/>
    </row>
    <row r="2487" spans="1:2" x14ac:dyDescent="0.25">
      <c r="A2487" s="73"/>
      <c r="B2487" s="73"/>
    </row>
    <row r="2488" spans="1:2" x14ac:dyDescent="0.25">
      <c r="A2488" s="73"/>
      <c r="B2488" s="73"/>
    </row>
    <row r="2489" spans="1:2" x14ac:dyDescent="0.25">
      <c r="A2489" s="73"/>
      <c r="B2489" s="73"/>
    </row>
    <row r="2490" spans="1:2" x14ac:dyDescent="0.25">
      <c r="A2490" s="73"/>
      <c r="B2490" s="73"/>
    </row>
    <row r="2491" spans="1:2" x14ac:dyDescent="0.25">
      <c r="A2491" s="73"/>
      <c r="B2491" s="73"/>
    </row>
    <row r="2492" spans="1:2" x14ac:dyDescent="0.25">
      <c r="A2492" s="73"/>
      <c r="B2492" s="73"/>
    </row>
    <row r="2493" spans="1:2" x14ac:dyDescent="0.25">
      <c r="A2493" s="73"/>
      <c r="B2493" s="73"/>
    </row>
    <row r="2494" spans="1:2" x14ac:dyDescent="0.25">
      <c r="A2494" s="73"/>
      <c r="B2494" s="73"/>
    </row>
    <row r="2495" spans="1:2" x14ac:dyDescent="0.25">
      <c r="A2495" s="73"/>
      <c r="B2495" s="73"/>
    </row>
    <row r="2496" spans="1:2" x14ac:dyDescent="0.25">
      <c r="A2496" s="73"/>
      <c r="B2496" s="73"/>
    </row>
    <row r="2497" spans="1:2" x14ac:dyDescent="0.25">
      <c r="A2497" s="73"/>
      <c r="B2497" s="73"/>
    </row>
    <row r="2498" spans="1:2" x14ac:dyDescent="0.25">
      <c r="A2498" s="73"/>
      <c r="B2498" s="73"/>
    </row>
    <row r="2499" spans="1:2" x14ac:dyDescent="0.25">
      <c r="A2499" s="73"/>
      <c r="B2499" s="73"/>
    </row>
    <row r="2500" spans="1:2" x14ac:dyDescent="0.25">
      <c r="A2500" s="73"/>
      <c r="B2500" s="73"/>
    </row>
    <row r="2501" spans="1:2" x14ac:dyDescent="0.25">
      <c r="A2501" s="73"/>
      <c r="B2501" s="73"/>
    </row>
    <row r="2502" spans="1:2" x14ac:dyDescent="0.25">
      <c r="A2502" s="73"/>
      <c r="B2502" s="73"/>
    </row>
    <row r="2503" spans="1:2" x14ac:dyDescent="0.25">
      <c r="A2503" s="73"/>
      <c r="B2503" s="73"/>
    </row>
    <row r="2504" spans="1:2" x14ac:dyDescent="0.25">
      <c r="A2504" s="73"/>
      <c r="B2504" s="73"/>
    </row>
    <row r="2505" spans="1:2" x14ac:dyDescent="0.25">
      <c r="A2505" s="73"/>
      <c r="B2505" s="73"/>
    </row>
    <row r="2506" spans="1:2" x14ac:dyDescent="0.25">
      <c r="A2506" s="73"/>
      <c r="B2506" s="73"/>
    </row>
    <row r="2507" spans="1:2" x14ac:dyDescent="0.25">
      <c r="A2507" s="73"/>
      <c r="B2507" s="73"/>
    </row>
    <row r="2508" spans="1:2" x14ac:dyDescent="0.25">
      <c r="A2508" s="73"/>
      <c r="B2508" s="73"/>
    </row>
    <row r="2509" spans="1:2" x14ac:dyDescent="0.25">
      <c r="A2509" s="73"/>
      <c r="B2509" s="73"/>
    </row>
    <row r="2510" spans="1:2" x14ac:dyDescent="0.25">
      <c r="A2510" s="73"/>
      <c r="B2510" s="73"/>
    </row>
    <row r="2511" spans="1:2" x14ac:dyDescent="0.25">
      <c r="A2511" s="73"/>
      <c r="B2511" s="73"/>
    </row>
    <row r="2512" spans="1:2" x14ac:dyDescent="0.25">
      <c r="A2512" s="73"/>
      <c r="B2512" s="73"/>
    </row>
    <row r="2513" spans="1:2" x14ac:dyDescent="0.25">
      <c r="A2513" s="73"/>
      <c r="B2513" s="73"/>
    </row>
    <row r="2514" spans="1:2" x14ac:dyDescent="0.25">
      <c r="A2514" s="73"/>
      <c r="B2514" s="73"/>
    </row>
    <row r="2515" spans="1:2" x14ac:dyDescent="0.25">
      <c r="A2515" s="73"/>
      <c r="B2515" s="73"/>
    </row>
    <row r="2516" spans="1:2" x14ac:dyDescent="0.25">
      <c r="A2516" s="73"/>
      <c r="B2516" s="73"/>
    </row>
    <row r="2517" spans="1:2" x14ac:dyDescent="0.25">
      <c r="A2517" s="73"/>
      <c r="B2517" s="73"/>
    </row>
    <row r="2518" spans="1:2" x14ac:dyDescent="0.25">
      <c r="A2518" s="73"/>
      <c r="B2518" s="73"/>
    </row>
    <row r="2519" spans="1:2" x14ac:dyDescent="0.25">
      <c r="A2519" s="73"/>
      <c r="B2519" s="73"/>
    </row>
    <row r="2520" spans="1:2" x14ac:dyDescent="0.25">
      <c r="A2520" s="73"/>
      <c r="B2520" s="73"/>
    </row>
    <row r="2521" spans="1:2" x14ac:dyDescent="0.25">
      <c r="A2521" s="73"/>
      <c r="B2521" s="73"/>
    </row>
    <row r="2522" spans="1:2" x14ac:dyDescent="0.25">
      <c r="A2522" s="73"/>
      <c r="B2522" s="73"/>
    </row>
    <row r="2523" spans="1:2" x14ac:dyDescent="0.25">
      <c r="A2523" s="73"/>
      <c r="B2523" s="73"/>
    </row>
    <row r="2524" spans="1:2" x14ac:dyDescent="0.25">
      <c r="A2524" s="73"/>
      <c r="B2524" s="73"/>
    </row>
    <row r="2525" spans="1:2" x14ac:dyDescent="0.25">
      <c r="A2525" s="73"/>
      <c r="B2525" s="73"/>
    </row>
    <row r="2526" spans="1:2" x14ac:dyDescent="0.25">
      <c r="A2526" s="73"/>
      <c r="B2526" s="73"/>
    </row>
    <row r="2527" spans="1:2" x14ac:dyDescent="0.25">
      <c r="A2527" s="73"/>
      <c r="B2527" s="73"/>
    </row>
    <row r="2528" spans="1:2" x14ac:dyDescent="0.25">
      <c r="A2528" s="73"/>
      <c r="B2528" s="73"/>
    </row>
    <row r="2529" spans="1:2" x14ac:dyDescent="0.25">
      <c r="A2529" s="73"/>
      <c r="B2529" s="73"/>
    </row>
    <row r="2530" spans="1:2" x14ac:dyDescent="0.25">
      <c r="A2530" s="73"/>
      <c r="B2530" s="73"/>
    </row>
    <row r="2531" spans="1:2" x14ac:dyDescent="0.25">
      <c r="A2531" s="73"/>
      <c r="B2531" s="73"/>
    </row>
    <row r="2532" spans="1:2" x14ac:dyDescent="0.25">
      <c r="A2532" s="73"/>
      <c r="B2532" s="73"/>
    </row>
    <row r="2533" spans="1:2" x14ac:dyDescent="0.25">
      <c r="A2533" s="73"/>
      <c r="B2533" s="73"/>
    </row>
    <row r="2534" spans="1:2" x14ac:dyDescent="0.25">
      <c r="A2534" s="73"/>
      <c r="B2534" s="73"/>
    </row>
    <row r="2535" spans="1:2" x14ac:dyDescent="0.25">
      <c r="A2535" s="73"/>
      <c r="B2535" s="73"/>
    </row>
    <row r="2536" spans="1:2" x14ac:dyDescent="0.25">
      <c r="A2536" s="73"/>
      <c r="B2536" s="73"/>
    </row>
    <row r="2537" spans="1:2" x14ac:dyDescent="0.25">
      <c r="A2537" s="73"/>
      <c r="B2537" s="73"/>
    </row>
    <row r="2538" spans="1:2" x14ac:dyDescent="0.25">
      <c r="A2538" s="73"/>
      <c r="B2538" s="73"/>
    </row>
    <row r="2539" spans="1:2" x14ac:dyDescent="0.25">
      <c r="A2539" s="73"/>
      <c r="B2539" s="73"/>
    </row>
    <row r="2540" spans="1:2" x14ac:dyDescent="0.25">
      <c r="A2540" s="73"/>
      <c r="B2540" s="73"/>
    </row>
    <row r="2541" spans="1:2" x14ac:dyDescent="0.25">
      <c r="A2541" s="73"/>
      <c r="B2541" s="73"/>
    </row>
    <row r="2542" spans="1:2" x14ac:dyDescent="0.25">
      <c r="A2542" s="73"/>
      <c r="B2542" s="73"/>
    </row>
    <row r="2543" spans="1:2" x14ac:dyDescent="0.25">
      <c r="A2543" s="73"/>
      <c r="B2543" s="73"/>
    </row>
    <row r="2544" spans="1:2" x14ac:dyDescent="0.25">
      <c r="A2544" s="73"/>
      <c r="B2544" s="73"/>
    </row>
    <row r="2545" spans="1:2" x14ac:dyDescent="0.25">
      <c r="A2545" s="73"/>
      <c r="B2545" s="73"/>
    </row>
    <row r="2546" spans="1:2" x14ac:dyDescent="0.25">
      <c r="A2546" s="73"/>
      <c r="B2546" s="73"/>
    </row>
    <row r="2547" spans="1:2" x14ac:dyDescent="0.25">
      <c r="A2547" s="73"/>
      <c r="B2547" s="73"/>
    </row>
    <row r="2548" spans="1:2" x14ac:dyDescent="0.25">
      <c r="A2548" s="73"/>
      <c r="B2548" s="73"/>
    </row>
    <row r="2549" spans="1:2" x14ac:dyDescent="0.25">
      <c r="A2549" s="73"/>
      <c r="B2549" s="73"/>
    </row>
    <row r="2550" spans="1:2" x14ac:dyDescent="0.25">
      <c r="A2550" s="73"/>
      <c r="B2550" s="73"/>
    </row>
    <row r="2551" spans="1:2" x14ac:dyDescent="0.25">
      <c r="A2551" s="73"/>
      <c r="B2551" s="73"/>
    </row>
    <row r="2552" spans="1:2" x14ac:dyDescent="0.25">
      <c r="A2552" s="73"/>
      <c r="B2552" s="73"/>
    </row>
    <row r="2553" spans="1:2" x14ac:dyDescent="0.25">
      <c r="A2553" s="73"/>
      <c r="B2553" s="73"/>
    </row>
    <row r="2554" spans="1:2" x14ac:dyDescent="0.25">
      <c r="A2554" s="73"/>
      <c r="B2554" s="73"/>
    </row>
    <row r="2555" spans="1:2" x14ac:dyDescent="0.25">
      <c r="A2555" s="73"/>
      <c r="B2555" s="73"/>
    </row>
    <row r="2556" spans="1:2" x14ac:dyDescent="0.25">
      <c r="A2556" s="73"/>
      <c r="B2556" s="73"/>
    </row>
    <row r="2557" spans="1:2" x14ac:dyDescent="0.25">
      <c r="A2557" s="73"/>
      <c r="B2557" s="73"/>
    </row>
    <row r="2558" spans="1:2" x14ac:dyDescent="0.25">
      <c r="A2558" s="73"/>
      <c r="B2558" s="73"/>
    </row>
    <row r="2559" spans="1:2" x14ac:dyDescent="0.25">
      <c r="A2559" s="73"/>
      <c r="B2559" s="73"/>
    </row>
    <row r="2560" spans="1:2" x14ac:dyDescent="0.25">
      <c r="A2560" s="73"/>
      <c r="B2560" s="73"/>
    </row>
    <row r="2561" spans="1:2" x14ac:dyDescent="0.25">
      <c r="A2561" s="73"/>
      <c r="B2561" s="73"/>
    </row>
    <row r="2562" spans="1:2" x14ac:dyDescent="0.25">
      <c r="A2562" s="73"/>
      <c r="B2562" s="73"/>
    </row>
    <row r="2563" spans="1:2" x14ac:dyDescent="0.25">
      <c r="A2563" s="73"/>
      <c r="B2563" s="73"/>
    </row>
    <row r="2564" spans="1:2" x14ac:dyDescent="0.25">
      <c r="A2564" s="73"/>
      <c r="B2564" s="73"/>
    </row>
    <row r="2565" spans="1:2" x14ac:dyDescent="0.25">
      <c r="A2565" s="73"/>
      <c r="B2565" s="73"/>
    </row>
    <row r="2566" spans="1:2" x14ac:dyDescent="0.25">
      <c r="A2566" s="73"/>
      <c r="B2566" s="73"/>
    </row>
    <row r="2567" spans="1:2" x14ac:dyDescent="0.25">
      <c r="A2567" s="73"/>
      <c r="B2567" s="73"/>
    </row>
    <row r="2568" spans="1:2" x14ac:dyDescent="0.25">
      <c r="A2568" s="73"/>
      <c r="B2568" s="73"/>
    </row>
    <row r="2569" spans="1:2" x14ac:dyDescent="0.25">
      <c r="A2569" s="73"/>
      <c r="B2569" s="73"/>
    </row>
    <row r="2570" spans="1:2" x14ac:dyDescent="0.25">
      <c r="A2570" s="73"/>
      <c r="B2570" s="73"/>
    </row>
    <row r="2571" spans="1:2" x14ac:dyDescent="0.25">
      <c r="A2571" s="73"/>
      <c r="B2571" s="73"/>
    </row>
    <row r="2572" spans="1:2" x14ac:dyDescent="0.25">
      <c r="A2572" s="73"/>
      <c r="B2572" s="73"/>
    </row>
    <row r="2573" spans="1:2" x14ac:dyDescent="0.25">
      <c r="A2573" s="73"/>
      <c r="B2573" s="73"/>
    </row>
    <row r="2574" spans="1:2" x14ac:dyDescent="0.25">
      <c r="A2574" s="73"/>
      <c r="B2574" s="73"/>
    </row>
    <row r="2575" spans="1:2" x14ac:dyDescent="0.25">
      <c r="A2575" s="73"/>
      <c r="B2575" s="73"/>
    </row>
    <row r="2576" spans="1:2" x14ac:dyDescent="0.25">
      <c r="A2576" s="73"/>
      <c r="B2576" s="73"/>
    </row>
    <row r="2577" spans="1:2" x14ac:dyDescent="0.25">
      <c r="A2577" s="73"/>
      <c r="B2577" s="73"/>
    </row>
    <row r="2578" spans="1:2" x14ac:dyDescent="0.25">
      <c r="A2578" s="73"/>
      <c r="B2578" s="73"/>
    </row>
    <row r="2579" spans="1:2" x14ac:dyDescent="0.25">
      <c r="A2579" s="73"/>
      <c r="B2579" s="73"/>
    </row>
    <row r="2580" spans="1:2" x14ac:dyDescent="0.25">
      <c r="A2580" s="73"/>
      <c r="B2580" s="73"/>
    </row>
    <row r="2581" spans="1:2" x14ac:dyDescent="0.25">
      <c r="A2581" s="73"/>
      <c r="B2581" s="73"/>
    </row>
    <row r="2582" spans="1:2" x14ac:dyDescent="0.25">
      <c r="A2582" s="73"/>
      <c r="B2582" s="73"/>
    </row>
    <row r="2583" spans="1:2" x14ac:dyDescent="0.25">
      <c r="A2583" s="73"/>
      <c r="B2583" s="73"/>
    </row>
    <row r="2584" spans="1:2" x14ac:dyDescent="0.25">
      <c r="A2584" s="73"/>
      <c r="B2584" s="73"/>
    </row>
    <row r="2585" spans="1:2" x14ac:dyDescent="0.25">
      <c r="A2585" s="73"/>
      <c r="B2585" s="73"/>
    </row>
    <row r="2586" spans="1:2" x14ac:dyDescent="0.25">
      <c r="A2586" s="73"/>
      <c r="B2586" s="73"/>
    </row>
    <row r="2587" spans="1:2" x14ac:dyDescent="0.25">
      <c r="A2587" s="73"/>
      <c r="B2587" s="73"/>
    </row>
    <row r="2588" spans="1:2" x14ac:dyDescent="0.25">
      <c r="A2588" s="73"/>
      <c r="B2588" s="73"/>
    </row>
    <row r="2589" spans="1:2" x14ac:dyDescent="0.25">
      <c r="A2589" s="73"/>
      <c r="B2589" s="73"/>
    </row>
    <row r="2590" spans="1:2" x14ac:dyDescent="0.25">
      <c r="A2590" s="73"/>
      <c r="B2590" s="73"/>
    </row>
    <row r="2591" spans="1:2" x14ac:dyDescent="0.25">
      <c r="A2591" s="73"/>
      <c r="B2591" s="73"/>
    </row>
    <row r="2592" spans="1:2" x14ac:dyDescent="0.25">
      <c r="A2592" s="73"/>
      <c r="B2592" s="73"/>
    </row>
    <row r="2593" spans="1:2" x14ac:dyDescent="0.25">
      <c r="A2593" s="73"/>
      <c r="B2593" s="73"/>
    </row>
    <row r="2594" spans="1:2" x14ac:dyDescent="0.25">
      <c r="A2594" s="73"/>
      <c r="B2594" s="73"/>
    </row>
    <row r="2595" spans="1:2" x14ac:dyDescent="0.25">
      <c r="A2595" s="73"/>
      <c r="B2595" s="73"/>
    </row>
    <row r="2596" spans="1:2" x14ac:dyDescent="0.25">
      <c r="A2596" s="73"/>
      <c r="B2596" s="73"/>
    </row>
    <row r="2597" spans="1:2" x14ac:dyDescent="0.25">
      <c r="A2597" s="73"/>
      <c r="B2597" s="73"/>
    </row>
    <row r="2598" spans="1:2" x14ac:dyDescent="0.25">
      <c r="A2598" s="73"/>
      <c r="B2598" s="73"/>
    </row>
    <row r="2599" spans="1:2" x14ac:dyDescent="0.25">
      <c r="A2599" s="73"/>
      <c r="B2599" s="73"/>
    </row>
    <row r="2600" spans="1:2" x14ac:dyDescent="0.25">
      <c r="A2600" s="73"/>
      <c r="B2600" s="73"/>
    </row>
    <row r="2601" spans="1:2" x14ac:dyDescent="0.25">
      <c r="A2601" s="73"/>
      <c r="B2601" s="73"/>
    </row>
    <row r="2602" spans="1:2" x14ac:dyDescent="0.25">
      <c r="A2602" s="73"/>
      <c r="B2602" s="73"/>
    </row>
    <row r="2603" spans="1:2" x14ac:dyDescent="0.25">
      <c r="A2603" s="73"/>
      <c r="B2603" s="73"/>
    </row>
    <row r="2604" spans="1:2" x14ac:dyDescent="0.25">
      <c r="A2604" s="73"/>
      <c r="B2604" s="73"/>
    </row>
    <row r="2605" spans="1:2" x14ac:dyDescent="0.25">
      <c r="A2605" s="73"/>
      <c r="B2605" s="73"/>
    </row>
    <row r="2606" spans="1:2" x14ac:dyDescent="0.25">
      <c r="A2606" s="73"/>
      <c r="B2606" s="73"/>
    </row>
    <row r="2607" spans="1:2" x14ac:dyDescent="0.25">
      <c r="A2607" s="73"/>
      <c r="B2607" s="73"/>
    </row>
    <row r="2608" spans="1:2" x14ac:dyDescent="0.25">
      <c r="A2608" s="73"/>
      <c r="B2608" s="73"/>
    </row>
    <row r="2609" spans="1:2" x14ac:dyDescent="0.25">
      <c r="A2609" s="73"/>
      <c r="B2609" s="73"/>
    </row>
    <row r="2610" spans="1:2" x14ac:dyDescent="0.25">
      <c r="A2610" s="73"/>
      <c r="B2610" s="73"/>
    </row>
    <row r="2611" spans="1:2" x14ac:dyDescent="0.25">
      <c r="A2611" s="73"/>
      <c r="B2611" s="73"/>
    </row>
    <row r="2612" spans="1:2" x14ac:dyDescent="0.25">
      <c r="A2612" s="73"/>
      <c r="B2612" s="73"/>
    </row>
    <row r="2613" spans="1:2" x14ac:dyDescent="0.25">
      <c r="A2613" s="73"/>
      <c r="B2613" s="73"/>
    </row>
    <row r="2614" spans="1:2" x14ac:dyDescent="0.25">
      <c r="A2614" s="73"/>
      <c r="B2614" s="73"/>
    </row>
    <row r="2615" spans="1:2" x14ac:dyDescent="0.25">
      <c r="A2615" s="73"/>
      <c r="B2615" s="73"/>
    </row>
    <row r="2616" spans="1:2" x14ac:dyDescent="0.25">
      <c r="A2616" s="73"/>
      <c r="B2616" s="73"/>
    </row>
    <row r="2617" spans="1:2" x14ac:dyDescent="0.25">
      <c r="A2617" s="73"/>
      <c r="B2617" s="73"/>
    </row>
    <row r="2618" spans="1:2" x14ac:dyDescent="0.25">
      <c r="A2618" s="73"/>
      <c r="B2618" s="73"/>
    </row>
    <row r="2619" spans="1:2" x14ac:dyDescent="0.25">
      <c r="A2619" s="73"/>
      <c r="B2619" s="73"/>
    </row>
    <row r="2620" spans="1:2" x14ac:dyDescent="0.25">
      <c r="A2620" s="73"/>
      <c r="B2620" s="73"/>
    </row>
    <row r="2621" spans="1:2" x14ac:dyDescent="0.25">
      <c r="A2621" s="73"/>
      <c r="B2621" s="73"/>
    </row>
    <row r="2622" spans="1:2" x14ac:dyDescent="0.25">
      <c r="A2622" s="73"/>
      <c r="B2622" s="73"/>
    </row>
    <row r="2623" spans="1:2" x14ac:dyDescent="0.25">
      <c r="A2623" s="73"/>
      <c r="B2623" s="73"/>
    </row>
    <row r="2624" spans="1:2" x14ac:dyDescent="0.25">
      <c r="A2624" s="73"/>
      <c r="B2624" s="73"/>
    </row>
    <row r="2625" spans="1:2" x14ac:dyDescent="0.25">
      <c r="A2625" s="73"/>
      <c r="B2625" s="73"/>
    </row>
    <row r="2626" spans="1:2" x14ac:dyDescent="0.25">
      <c r="A2626" s="73"/>
      <c r="B2626" s="73"/>
    </row>
    <row r="2627" spans="1:2" x14ac:dyDescent="0.25">
      <c r="A2627" s="73"/>
      <c r="B2627" s="73"/>
    </row>
    <row r="2628" spans="1:2" x14ac:dyDescent="0.25">
      <c r="A2628" s="73"/>
      <c r="B2628" s="73"/>
    </row>
    <row r="2629" spans="1:2" x14ac:dyDescent="0.25">
      <c r="A2629" s="73"/>
      <c r="B2629" s="73"/>
    </row>
    <row r="2630" spans="1:2" x14ac:dyDescent="0.25">
      <c r="A2630" s="73"/>
      <c r="B2630" s="73"/>
    </row>
    <row r="2631" spans="1:2" x14ac:dyDescent="0.25">
      <c r="A2631" s="73"/>
      <c r="B2631" s="73"/>
    </row>
    <row r="2632" spans="1:2" x14ac:dyDescent="0.25">
      <c r="A2632" s="73"/>
      <c r="B2632" s="73"/>
    </row>
    <row r="2633" spans="1:2" x14ac:dyDescent="0.25">
      <c r="A2633" s="73"/>
      <c r="B2633" s="73"/>
    </row>
    <row r="2634" spans="1:2" x14ac:dyDescent="0.25">
      <c r="A2634" s="73"/>
      <c r="B2634" s="73"/>
    </row>
    <row r="2635" spans="1:2" x14ac:dyDescent="0.25">
      <c r="A2635" s="73"/>
      <c r="B2635" s="73"/>
    </row>
    <row r="2636" spans="1:2" x14ac:dyDescent="0.25">
      <c r="A2636" s="73"/>
      <c r="B2636" s="73"/>
    </row>
    <row r="2637" spans="1:2" x14ac:dyDescent="0.25">
      <c r="A2637" s="73"/>
      <c r="B2637" s="73"/>
    </row>
    <row r="2638" spans="1:2" x14ac:dyDescent="0.25">
      <c r="A2638" s="73"/>
      <c r="B2638" s="73"/>
    </row>
    <row r="2639" spans="1:2" x14ac:dyDescent="0.25">
      <c r="A2639" s="73"/>
      <c r="B2639" s="73"/>
    </row>
    <row r="2640" spans="1:2" x14ac:dyDescent="0.25">
      <c r="A2640" s="73"/>
      <c r="B2640" s="73"/>
    </row>
    <row r="2641" spans="1:2" x14ac:dyDescent="0.25">
      <c r="A2641" s="73"/>
      <c r="B2641" s="73"/>
    </row>
    <row r="2642" spans="1:2" x14ac:dyDescent="0.25">
      <c r="A2642" s="73"/>
      <c r="B2642" s="73"/>
    </row>
    <row r="2643" spans="1:2" x14ac:dyDescent="0.25">
      <c r="A2643" s="73"/>
      <c r="B2643" s="73"/>
    </row>
    <row r="2644" spans="1:2" x14ac:dyDescent="0.25">
      <c r="A2644" s="73"/>
      <c r="B2644" s="73"/>
    </row>
    <row r="2645" spans="1:2" x14ac:dyDescent="0.25">
      <c r="A2645" s="73"/>
      <c r="B2645" s="73"/>
    </row>
    <row r="2646" spans="1:2" x14ac:dyDescent="0.25">
      <c r="A2646" s="73"/>
      <c r="B2646" s="73"/>
    </row>
    <row r="2647" spans="1:2" x14ac:dyDescent="0.25">
      <c r="A2647" s="73"/>
      <c r="B2647" s="73"/>
    </row>
    <row r="2648" spans="1:2" x14ac:dyDescent="0.25">
      <c r="A2648" s="73"/>
      <c r="B2648" s="73"/>
    </row>
    <row r="2649" spans="1:2" x14ac:dyDescent="0.25">
      <c r="A2649" s="73"/>
      <c r="B2649" s="73"/>
    </row>
    <row r="2650" spans="1:2" x14ac:dyDescent="0.25">
      <c r="A2650" s="73"/>
      <c r="B2650" s="73"/>
    </row>
    <row r="2651" spans="1:2" x14ac:dyDescent="0.25">
      <c r="A2651" s="73"/>
      <c r="B2651" s="73"/>
    </row>
    <row r="2652" spans="1:2" x14ac:dyDescent="0.25">
      <c r="A2652" s="73"/>
      <c r="B2652" s="73"/>
    </row>
    <row r="2653" spans="1:2" x14ac:dyDescent="0.25">
      <c r="A2653" s="73"/>
      <c r="B2653" s="73"/>
    </row>
    <row r="2654" spans="1:2" x14ac:dyDescent="0.25">
      <c r="A2654" s="73"/>
      <c r="B2654" s="73"/>
    </row>
    <row r="2655" spans="1:2" x14ac:dyDescent="0.25">
      <c r="A2655" s="73"/>
      <c r="B2655" s="73"/>
    </row>
    <row r="2656" spans="1:2" x14ac:dyDescent="0.25">
      <c r="A2656" s="73"/>
      <c r="B2656" s="73"/>
    </row>
    <row r="2657" spans="1:2" x14ac:dyDescent="0.25">
      <c r="A2657" s="73"/>
      <c r="B2657" s="73"/>
    </row>
    <row r="2658" spans="1:2" x14ac:dyDescent="0.25">
      <c r="A2658" s="73"/>
      <c r="B2658" s="73"/>
    </row>
    <row r="2659" spans="1:2" x14ac:dyDescent="0.25">
      <c r="A2659" s="73"/>
      <c r="B2659" s="73"/>
    </row>
    <row r="2660" spans="1:2" x14ac:dyDescent="0.25">
      <c r="A2660" s="73"/>
      <c r="B2660" s="73"/>
    </row>
    <row r="2661" spans="1:2" x14ac:dyDescent="0.25">
      <c r="A2661" s="73"/>
      <c r="B2661" s="73"/>
    </row>
    <row r="2662" spans="1:2" x14ac:dyDescent="0.25">
      <c r="A2662" s="73"/>
      <c r="B2662" s="73"/>
    </row>
    <row r="2663" spans="1:2" x14ac:dyDescent="0.25">
      <c r="A2663" s="73"/>
      <c r="B2663" s="73"/>
    </row>
    <row r="2664" spans="1:2" x14ac:dyDescent="0.25">
      <c r="A2664" s="73"/>
      <c r="B2664" s="73"/>
    </row>
    <row r="2665" spans="1:2" x14ac:dyDescent="0.25">
      <c r="A2665" s="73"/>
      <c r="B2665" s="73"/>
    </row>
    <row r="2666" spans="1:2" x14ac:dyDescent="0.25">
      <c r="A2666" s="73"/>
      <c r="B2666" s="73"/>
    </row>
    <row r="2667" spans="1:2" x14ac:dyDescent="0.25">
      <c r="A2667" s="73"/>
      <c r="B2667" s="73"/>
    </row>
    <row r="2668" spans="1:2" x14ac:dyDescent="0.25">
      <c r="A2668" s="73"/>
      <c r="B2668" s="73"/>
    </row>
    <row r="2669" spans="1:2" x14ac:dyDescent="0.25">
      <c r="A2669" s="73"/>
      <c r="B2669" s="73"/>
    </row>
    <row r="2670" spans="1:2" x14ac:dyDescent="0.25">
      <c r="A2670" s="73"/>
      <c r="B2670" s="73"/>
    </row>
    <row r="2671" spans="1:2" x14ac:dyDescent="0.25">
      <c r="A2671" s="73"/>
      <c r="B2671" s="73"/>
    </row>
    <row r="2672" spans="1:2" x14ac:dyDescent="0.25">
      <c r="A2672" s="73"/>
      <c r="B2672" s="73"/>
    </row>
    <row r="2673" spans="1:2" x14ac:dyDescent="0.25">
      <c r="A2673" s="73"/>
      <c r="B2673" s="73"/>
    </row>
    <row r="2674" spans="1:2" x14ac:dyDescent="0.25">
      <c r="A2674" s="73"/>
      <c r="B2674" s="73"/>
    </row>
    <row r="2675" spans="1:2" x14ac:dyDescent="0.25">
      <c r="A2675" s="73"/>
      <c r="B2675" s="73"/>
    </row>
    <row r="2676" spans="1:2" x14ac:dyDescent="0.25">
      <c r="A2676" s="73"/>
      <c r="B2676" s="73"/>
    </row>
    <row r="2677" spans="1:2" x14ac:dyDescent="0.25">
      <c r="A2677" s="73"/>
      <c r="B2677" s="73"/>
    </row>
    <row r="2678" spans="1:2" x14ac:dyDescent="0.25">
      <c r="A2678" s="73"/>
      <c r="B2678" s="73"/>
    </row>
    <row r="2679" spans="1:2" x14ac:dyDescent="0.25">
      <c r="A2679" s="73"/>
      <c r="B2679" s="73"/>
    </row>
    <row r="2680" spans="1:2" x14ac:dyDescent="0.25">
      <c r="A2680" s="73"/>
      <c r="B2680" s="73"/>
    </row>
    <row r="2681" spans="1:2" x14ac:dyDescent="0.25">
      <c r="A2681" s="73"/>
      <c r="B2681" s="73"/>
    </row>
    <row r="2682" spans="1:2" x14ac:dyDescent="0.25">
      <c r="A2682" s="73"/>
      <c r="B2682" s="73"/>
    </row>
    <row r="2683" spans="1:2" x14ac:dyDescent="0.25">
      <c r="A2683" s="73"/>
      <c r="B2683" s="73"/>
    </row>
    <row r="2684" spans="1:2" x14ac:dyDescent="0.25">
      <c r="A2684" s="73"/>
      <c r="B2684" s="73"/>
    </row>
    <row r="2685" spans="1:2" x14ac:dyDescent="0.25">
      <c r="A2685" s="73"/>
      <c r="B2685" s="73"/>
    </row>
    <row r="2686" spans="1:2" x14ac:dyDescent="0.25">
      <c r="A2686" s="73"/>
      <c r="B2686" s="73"/>
    </row>
    <row r="2687" spans="1:2" x14ac:dyDescent="0.25">
      <c r="A2687" s="73"/>
      <c r="B2687" s="73"/>
    </row>
    <row r="2688" spans="1:2" x14ac:dyDescent="0.25">
      <c r="A2688" s="73"/>
      <c r="B2688" s="73"/>
    </row>
    <row r="2689" spans="1:2" x14ac:dyDescent="0.25">
      <c r="A2689" s="73"/>
      <c r="B2689" s="73"/>
    </row>
    <row r="2690" spans="1:2" x14ac:dyDescent="0.25">
      <c r="A2690" s="73"/>
      <c r="B2690" s="73"/>
    </row>
    <row r="2691" spans="1:2" x14ac:dyDescent="0.25">
      <c r="A2691" s="73"/>
      <c r="B2691" s="73"/>
    </row>
    <row r="2692" spans="1:2" x14ac:dyDescent="0.25">
      <c r="A2692" s="73"/>
      <c r="B2692" s="73"/>
    </row>
    <row r="2693" spans="1:2" x14ac:dyDescent="0.25">
      <c r="A2693" s="73"/>
      <c r="B2693" s="73"/>
    </row>
    <row r="2694" spans="1:2" x14ac:dyDescent="0.25">
      <c r="A2694" s="73"/>
      <c r="B2694" s="73"/>
    </row>
    <row r="2695" spans="1:2" x14ac:dyDescent="0.25">
      <c r="A2695" s="73"/>
      <c r="B2695" s="73"/>
    </row>
    <row r="2696" spans="1:2" x14ac:dyDescent="0.25">
      <c r="A2696" s="73"/>
      <c r="B2696" s="73"/>
    </row>
    <row r="2697" spans="1:2" x14ac:dyDescent="0.25">
      <c r="A2697" s="73"/>
      <c r="B2697" s="73"/>
    </row>
    <row r="2698" spans="1:2" x14ac:dyDescent="0.25">
      <c r="A2698" s="73"/>
      <c r="B2698" s="73"/>
    </row>
    <row r="2699" spans="1:2" x14ac:dyDescent="0.25">
      <c r="A2699" s="73"/>
      <c r="B2699" s="73"/>
    </row>
    <row r="2700" spans="1:2" x14ac:dyDescent="0.25">
      <c r="A2700" s="73"/>
      <c r="B2700" s="73"/>
    </row>
    <row r="2701" spans="1:2" x14ac:dyDescent="0.25">
      <c r="A2701" s="73"/>
      <c r="B2701" s="73"/>
    </row>
    <row r="2702" spans="1:2" x14ac:dyDescent="0.25">
      <c r="A2702" s="73"/>
      <c r="B2702" s="73"/>
    </row>
    <row r="2703" spans="1:2" x14ac:dyDescent="0.25">
      <c r="A2703" s="73"/>
      <c r="B2703" s="73"/>
    </row>
    <row r="2704" spans="1:2" x14ac:dyDescent="0.25">
      <c r="A2704" s="73"/>
      <c r="B2704" s="73"/>
    </row>
    <row r="2705" spans="1:2" x14ac:dyDescent="0.25">
      <c r="A2705" s="73"/>
      <c r="B2705" s="73"/>
    </row>
    <row r="2706" spans="1:2" x14ac:dyDescent="0.25">
      <c r="A2706" s="73"/>
      <c r="B2706" s="73"/>
    </row>
    <row r="2707" spans="1:2" x14ac:dyDescent="0.25">
      <c r="A2707" s="73"/>
      <c r="B2707" s="73"/>
    </row>
    <row r="2708" spans="1:2" x14ac:dyDescent="0.25">
      <c r="A2708" s="73"/>
      <c r="B2708" s="73"/>
    </row>
    <row r="2709" spans="1:2" x14ac:dyDescent="0.25">
      <c r="A2709" s="73"/>
      <c r="B2709" s="73"/>
    </row>
    <row r="2710" spans="1:2" x14ac:dyDescent="0.25">
      <c r="A2710" s="73"/>
      <c r="B2710" s="73"/>
    </row>
    <row r="2711" spans="1:2" x14ac:dyDescent="0.25">
      <c r="A2711" s="73"/>
      <c r="B2711" s="73"/>
    </row>
    <row r="2712" spans="1:2" x14ac:dyDescent="0.25">
      <c r="A2712" s="73"/>
      <c r="B2712" s="73"/>
    </row>
    <row r="2713" spans="1:2" x14ac:dyDescent="0.25">
      <c r="A2713" s="73"/>
      <c r="B2713" s="73"/>
    </row>
    <row r="2714" spans="1:2" x14ac:dyDescent="0.25">
      <c r="A2714" s="73"/>
      <c r="B2714" s="73"/>
    </row>
    <row r="2715" spans="1:2" x14ac:dyDescent="0.25">
      <c r="A2715" s="73"/>
      <c r="B2715" s="73"/>
    </row>
    <row r="2716" spans="1:2" x14ac:dyDescent="0.25">
      <c r="A2716" s="73"/>
      <c r="B2716" s="73"/>
    </row>
    <row r="2717" spans="1:2" x14ac:dyDescent="0.25">
      <c r="A2717" s="73"/>
      <c r="B2717" s="73"/>
    </row>
    <row r="2718" spans="1:2" x14ac:dyDescent="0.25">
      <c r="A2718" s="73"/>
      <c r="B2718" s="73"/>
    </row>
    <row r="2719" spans="1:2" x14ac:dyDescent="0.25">
      <c r="A2719" s="73"/>
      <c r="B2719" s="73"/>
    </row>
    <row r="2720" spans="1:2" x14ac:dyDescent="0.25">
      <c r="A2720" s="73"/>
      <c r="B2720" s="73"/>
    </row>
    <row r="2721" spans="1:2" x14ac:dyDescent="0.25">
      <c r="A2721" s="73"/>
      <c r="B2721" s="73"/>
    </row>
    <row r="2722" spans="1:2" x14ac:dyDescent="0.25">
      <c r="A2722" s="73"/>
      <c r="B2722" s="73"/>
    </row>
    <row r="2723" spans="1:2" x14ac:dyDescent="0.25">
      <c r="A2723" s="73"/>
      <c r="B2723" s="73"/>
    </row>
    <row r="2724" spans="1:2" x14ac:dyDescent="0.25">
      <c r="A2724" s="73"/>
      <c r="B2724" s="73"/>
    </row>
    <row r="2725" spans="1:2" x14ac:dyDescent="0.25">
      <c r="A2725" s="73"/>
      <c r="B2725" s="73"/>
    </row>
    <row r="2726" spans="1:2" x14ac:dyDescent="0.25">
      <c r="A2726" s="73"/>
      <c r="B2726" s="73"/>
    </row>
    <row r="2727" spans="1:2" x14ac:dyDescent="0.25">
      <c r="A2727" s="73"/>
      <c r="B2727" s="73"/>
    </row>
    <row r="2728" spans="1:2" x14ac:dyDescent="0.25">
      <c r="A2728" s="73"/>
      <c r="B2728" s="73"/>
    </row>
    <row r="2729" spans="1:2" x14ac:dyDescent="0.25">
      <c r="A2729" s="73"/>
      <c r="B2729" s="73"/>
    </row>
    <row r="2730" spans="1:2" x14ac:dyDescent="0.25">
      <c r="A2730" s="73"/>
      <c r="B2730" s="73"/>
    </row>
    <row r="2731" spans="1:2" x14ac:dyDescent="0.25">
      <c r="A2731" s="73"/>
      <c r="B2731" s="73"/>
    </row>
    <row r="2732" spans="1:2" x14ac:dyDescent="0.25">
      <c r="A2732" s="73"/>
      <c r="B2732" s="73"/>
    </row>
    <row r="2733" spans="1:2" x14ac:dyDescent="0.25">
      <c r="A2733" s="73"/>
      <c r="B2733" s="73"/>
    </row>
    <row r="2734" spans="1:2" x14ac:dyDescent="0.25">
      <c r="A2734" s="73"/>
      <c r="B2734" s="73"/>
    </row>
    <row r="2735" spans="1:2" x14ac:dyDescent="0.25">
      <c r="A2735" s="73"/>
      <c r="B2735" s="73"/>
    </row>
    <row r="2736" spans="1:2" x14ac:dyDescent="0.25">
      <c r="A2736" s="73"/>
      <c r="B2736" s="73"/>
    </row>
    <row r="2737" spans="1:2" x14ac:dyDescent="0.25">
      <c r="A2737" s="73"/>
      <c r="B2737" s="73"/>
    </row>
    <row r="2738" spans="1:2" x14ac:dyDescent="0.25">
      <c r="A2738" s="73"/>
      <c r="B2738" s="73"/>
    </row>
    <row r="2739" spans="1:2" x14ac:dyDescent="0.25">
      <c r="A2739" s="73"/>
      <c r="B2739" s="73"/>
    </row>
    <row r="2740" spans="1:2" x14ac:dyDescent="0.25">
      <c r="A2740" s="73"/>
      <c r="B2740" s="73"/>
    </row>
    <row r="2741" spans="1:2" x14ac:dyDescent="0.25">
      <c r="A2741" s="73"/>
      <c r="B2741" s="73"/>
    </row>
    <row r="2742" spans="1:2" x14ac:dyDescent="0.25">
      <c r="A2742" s="73"/>
      <c r="B2742" s="73"/>
    </row>
    <row r="2743" spans="1:2" x14ac:dyDescent="0.25">
      <c r="A2743" s="73"/>
      <c r="B2743" s="73"/>
    </row>
    <row r="2744" spans="1:2" x14ac:dyDescent="0.25">
      <c r="A2744" s="73"/>
      <c r="B2744" s="73"/>
    </row>
    <row r="2745" spans="1:2" x14ac:dyDescent="0.25">
      <c r="A2745" s="73"/>
      <c r="B2745" s="73"/>
    </row>
    <row r="2746" spans="1:2" x14ac:dyDescent="0.25">
      <c r="A2746" s="73"/>
      <c r="B2746" s="73"/>
    </row>
    <row r="2747" spans="1:2" x14ac:dyDescent="0.25">
      <c r="A2747" s="73"/>
      <c r="B2747" s="73"/>
    </row>
    <row r="2748" spans="1:2" x14ac:dyDescent="0.25">
      <c r="A2748" s="73"/>
      <c r="B2748" s="73"/>
    </row>
    <row r="2749" spans="1:2" x14ac:dyDescent="0.25">
      <c r="A2749" s="73"/>
      <c r="B2749" s="73"/>
    </row>
    <row r="2750" spans="1:2" x14ac:dyDescent="0.25">
      <c r="A2750" s="73"/>
      <c r="B2750" s="73"/>
    </row>
    <row r="2751" spans="1:2" x14ac:dyDescent="0.25">
      <c r="A2751" s="73"/>
      <c r="B2751" s="73"/>
    </row>
    <row r="2752" spans="1:2" x14ac:dyDescent="0.25">
      <c r="A2752" s="73"/>
      <c r="B2752" s="73"/>
    </row>
    <row r="2753" spans="1:2" x14ac:dyDescent="0.25">
      <c r="A2753" s="73"/>
      <c r="B2753" s="73"/>
    </row>
    <row r="2754" spans="1:2" x14ac:dyDescent="0.25">
      <c r="A2754" s="73"/>
      <c r="B2754" s="73"/>
    </row>
    <row r="2755" spans="1:2" x14ac:dyDescent="0.25">
      <c r="A2755" s="73"/>
      <c r="B2755" s="73"/>
    </row>
    <row r="2756" spans="1:2" x14ac:dyDescent="0.25">
      <c r="A2756" s="73"/>
      <c r="B2756" s="73"/>
    </row>
    <row r="2757" spans="1:2" x14ac:dyDescent="0.25">
      <c r="A2757" s="73"/>
      <c r="B2757" s="73"/>
    </row>
    <row r="2758" spans="1:2" x14ac:dyDescent="0.25">
      <c r="A2758" s="73"/>
      <c r="B2758" s="73"/>
    </row>
    <row r="2759" spans="1:2" x14ac:dyDescent="0.25">
      <c r="A2759" s="73"/>
      <c r="B2759" s="73"/>
    </row>
    <row r="2760" spans="1:2" x14ac:dyDescent="0.25">
      <c r="A2760" s="73"/>
      <c r="B2760" s="73"/>
    </row>
    <row r="2761" spans="1:2" x14ac:dyDescent="0.25">
      <c r="A2761" s="73"/>
      <c r="B2761" s="73"/>
    </row>
    <row r="2762" spans="1:2" x14ac:dyDescent="0.25">
      <c r="A2762" s="73"/>
      <c r="B2762" s="73"/>
    </row>
    <row r="2763" spans="1:2" x14ac:dyDescent="0.25">
      <c r="A2763" s="73"/>
      <c r="B2763" s="73"/>
    </row>
    <row r="2764" spans="1:2" x14ac:dyDescent="0.25">
      <c r="A2764" s="73"/>
      <c r="B2764" s="73"/>
    </row>
    <row r="2765" spans="1:2" x14ac:dyDescent="0.25">
      <c r="A2765" s="73"/>
      <c r="B2765" s="73"/>
    </row>
    <row r="2766" spans="1:2" x14ac:dyDescent="0.25">
      <c r="A2766" s="73"/>
      <c r="B2766" s="73"/>
    </row>
    <row r="2767" spans="1:2" x14ac:dyDescent="0.25">
      <c r="A2767" s="73"/>
      <c r="B2767" s="73"/>
    </row>
    <row r="2768" spans="1:2" x14ac:dyDescent="0.25">
      <c r="A2768" s="73"/>
      <c r="B2768" s="73"/>
    </row>
    <row r="2769" spans="1:2" x14ac:dyDescent="0.25">
      <c r="A2769" s="73"/>
      <c r="B2769" s="73"/>
    </row>
    <row r="2770" spans="1:2" x14ac:dyDescent="0.25">
      <c r="A2770" s="73"/>
      <c r="B2770" s="73"/>
    </row>
    <row r="2771" spans="1:2" x14ac:dyDescent="0.25">
      <c r="A2771" s="73"/>
      <c r="B2771" s="73"/>
    </row>
    <row r="2772" spans="1:2" x14ac:dyDescent="0.25">
      <c r="A2772" s="73"/>
      <c r="B2772" s="73"/>
    </row>
    <row r="2773" spans="1:2" x14ac:dyDescent="0.25">
      <c r="A2773" s="73"/>
      <c r="B2773" s="73"/>
    </row>
    <row r="2774" spans="1:2" x14ac:dyDescent="0.25">
      <c r="A2774" s="73"/>
      <c r="B2774" s="73"/>
    </row>
    <row r="2775" spans="1:2" x14ac:dyDescent="0.25">
      <c r="A2775" s="73"/>
      <c r="B2775" s="73"/>
    </row>
    <row r="2776" spans="1:2" x14ac:dyDescent="0.25">
      <c r="A2776" s="73"/>
      <c r="B2776" s="73"/>
    </row>
    <row r="2777" spans="1:2" x14ac:dyDescent="0.25">
      <c r="A2777" s="73"/>
      <c r="B2777" s="73"/>
    </row>
    <row r="2778" spans="1:2" x14ac:dyDescent="0.25">
      <c r="A2778" s="73"/>
      <c r="B2778" s="73"/>
    </row>
    <row r="2779" spans="1:2" x14ac:dyDescent="0.25">
      <c r="A2779" s="73"/>
      <c r="B2779" s="73"/>
    </row>
    <row r="2780" spans="1:2" x14ac:dyDescent="0.25">
      <c r="A2780" s="73"/>
      <c r="B2780" s="73"/>
    </row>
    <row r="2781" spans="1:2" x14ac:dyDescent="0.25">
      <c r="A2781" s="73"/>
      <c r="B2781" s="73"/>
    </row>
    <row r="2782" spans="1:2" x14ac:dyDescent="0.25">
      <c r="A2782" s="73"/>
      <c r="B2782" s="73"/>
    </row>
    <row r="2783" spans="1:2" x14ac:dyDescent="0.25">
      <c r="A2783" s="73"/>
      <c r="B2783" s="73"/>
    </row>
    <row r="2784" spans="1:2" x14ac:dyDescent="0.25">
      <c r="A2784" s="73"/>
      <c r="B2784" s="73"/>
    </row>
    <row r="2785" spans="1:2" x14ac:dyDescent="0.25">
      <c r="A2785" s="73"/>
      <c r="B2785" s="73"/>
    </row>
    <row r="2786" spans="1:2" x14ac:dyDescent="0.25">
      <c r="A2786" s="73"/>
      <c r="B2786" s="73"/>
    </row>
    <row r="2787" spans="1:2" x14ac:dyDescent="0.25">
      <c r="A2787" s="73"/>
      <c r="B2787" s="73"/>
    </row>
    <row r="2788" spans="1:2" x14ac:dyDescent="0.25">
      <c r="A2788" s="73"/>
      <c r="B2788" s="73"/>
    </row>
    <row r="2789" spans="1:2" x14ac:dyDescent="0.25">
      <c r="A2789" s="73"/>
      <c r="B2789" s="73"/>
    </row>
    <row r="2790" spans="1:2" x14ac:dyDescent="0.25">
      <c r="A2790" s="73"/>
      <c r="B2790" s="73"/>
    </row>
    <row r="2791" spans="1:2" x14ac:dyDescent="0.25">
      <c r="A2791" s="73"/>
      <c r="B2791" s="73"/>
    </row>
    <row r="2792" spans="1:2" x14ac:dyDescent="0.25">
      <c r="A2792" s="73"/>
      <c r="B2792" s="73"/>
    </row>
    <row r="2793" spans="1:2" x14ac:dyDescent="0.25">
      <c r="A2793" s="73"/>
      <c r="B2793" s="73"/>
    </row>
    <row r="2794" spans="1:2" x14ac:dyDescent="0.25">
      <c r="A2794" s="73"/>
      <c r="B2794" s="73"/>
    </row>
    <row r="2795" spans="1:2" x14ac:dyDescent="0.25">
      <c r="A2795" s="73"/>
      <c r="B2795" s="73"/>
    </row>
    <row r="2796" spans="1:2" x14ac:dyDescent="0.25">
      <c r="A2796" s="73"/>
      <c r="B2796" s="73"/>
    </row>
    <row r="2797" spans="1:2" x14ac:dyDescent="0.25">
      <c r="A2797" s="73"/>
      <c r="B2797" s="73"/>
    </row>
    <row r="2798" spans="1:2" x14ac:dyDescent="0.25">
      <c r="A2798" s="73"/>
      <c r="B2798" s="73"/>
    </row>
    <row r="2799" spans="1:2" x14ac:dyDescent="0.25">
      <c r="A2799" s="73"/>
      <c r="B2799" s="73"/>
    </row>
    <row r="2800" spans="1:2" x14ac:dyDescent="0.25">
      <c r="A2800" s="73"/>
      <c r="B2800" s="73"/>
    </row>
    <row r="2801" spans="1:2" x14ac:dyDescent="0.25">
      <c r="A2801" s="73"/>
      <c r="B2801" s="73"/>
    </row>
    <row r="2802" spans="1:2" x14ac:dyDescent="0.25">
      <c r="A2802" s="73"/>
      <c r="B2802" s="73"/>
    </row>
    <row r="2803" spans="1:2" x14ac:dyDescent="0.25">
      <c r="A2803" s="73"/>
      <c r="B2803" s="73"/>
    </row>
    <row r="2804" spans="1:2" x14ac:dyDescent="0.25">
      <c r="A2804" s="73"/>
      <c r="B2804" s="73"/>
    </row>
    <row r="2805" spans="1:2" x14ac:dyDescent="0.25">
      <c r="A2805" s="73"/>
      <c r="B2805" s="73"/>
    </row>
    <row r="2806" spans="1:2" x14ac:dyDescent="0.25">
      <c r="A2806" s="73"/>
      <c r="B2806" s="73"/>
    </row>
    <row r="2807" spans="1:2" x14ac:dyDescent="0.25">
      <c r="A2807" s="73"/>
      <c r="B2807" s="73"/>
    </row>
    <row r="2808" spans="1:2" x14ac:dyDescent="0.25">
      <c r="A2808" s="73"/>
      <c r="B2808" s="73"/>
    </row>
    <row r="2809" spans="1:2" x14ac:dyDescent="0.25">
      <c r="A2809" s="73"/>
      <c r="B2809" s="73"/>
    </row>
    <row r="2810" spans="1:2" x14ac:dyDescent="0.25">
      <c r="A2810" s="73"/>
      <c r="B2810" s="73"/>
    </row>
    <row r="2811" spans="1:2" x14ac:dyDescent="0.25">
      <c r="A2811" s="73"/>
      <c r="B2811" s="73"/>
    </row>
    <row r="2812" spans="1:2" x14ac:dyDescent="0.25">
      <c r="A2812" s="73"/>
      <c r="B2812" s="73"/>
    </row>
    <row r="2813" spans="1:2" x14ac:dyDescent="0.25">
      <c r="A2813" s="73"/>
      <c r="B2813" s="73"/>
    </row>
    <row r="2814" spans="1:2" x14ac:dyDescent="0.25">
      <c r="A2814" s="73"/>
      <c r="B2814" s="73"/>
    </row>
    <row r="2815" spans="1:2" x14ac:dyDescent="0.25">
      <c r="A2815" s="73"/>
      <c r="B2815" s="73"/>
    </row>
    <row r="2816" spans="1:2" x14ac:dyDescent="0.25">
      <c r="A2816" s="73"/>
      <c r="B2816" s="73"/>
    </row>
    <row r="2817" spans="1:2" x14ac:dyDescent="0.25">
      <c r="A2817" s="73"/>
      <c r="B2817" s="73"/>
    </row>
    <row r="2818" spans="1:2" x14ac:dyDescent="0.25">
      <c r="A2818" s="73"/>
      <c r="B2818" s="73"/>
    </row>
    <row r="2819" spans="1:2" x14ac:dyDescent="0.25">
      <c r="A2819" s="73"/>
      <c r="B2819" s="73"/>
    </row>
    <row r="2820" spans="1:2" x14ac:dyDescent="0.25">
      <c r="A2820" s="73"/>
      <c r="B2820" s="73"/>
    </row>
    <row r="2821" spans="1:2" x14ac:dyDescent="0.25">
      <c r="A2821" s="73"/>
      <c r="B2821" s="73"/>
    </row>
    <row r="2822" spans="1:2" x14ac:dyDescent="0.25">
      <c r="A2822" s="73"/>
      <c r="B2822" s="73"/>
    </row>
    <row r="2823" spans="1:2" x14ac:dyDescent="0.25">
      <c r="A2823" s="73"/>
      <c r="B2823" s="73"/>
    </row>
    <row r="2824" spans="1:2" x14ac:dyDescent="0.25">
      <c r="A2824" s="73"/>
      <c r="B2824" s="73"/>
    </row>
    <row r="2825" spans="1:2" x14ac:dyDescent="0.25">
      <c r="A2825" s="73"/>
      <c r="B2825" s="73"/>
    </row>
    <row r="2826" spans="1:2" x14ac:dyDescent="0.25">
      <c r="A2826" s="73"/>
      <c r="B2826" s="73"/>
    </row>
    <row r="2827" spans="1:2" x14ac:dyDescent="0.25">
      <c r="A2827" s="73"/>
      <c r="B2827" s="73"/>
    </row>
    <row r="2828" spans="1:2" x14ac:dyDescent="0.25">
      <c r="A2828" s="73"/>
      <c r="B2828" s="73"/>
    </row>
    <row r="2829" spans="1:2" x14ac:dyDescent="0.25">
      <c r="A2829" s="73"/>
      <c r="B2829" s="73"/>
    </row>
    <row r="2830" spans="1:2" x14ac:dyDescent="0.25">
      <c r="A2830" s="73"/>
      <c r="B2830" s="73"/>
    </row>
    <row r="2831" spans="1:2" x14ac:dyDescent="0.25">
      <c r="A2831" s="73"/>
      <c r="B2831" s="73"/>
    </row>
    <row r="2832" spans="1:2" x14ac:dyDescent="0.25">
      <c r="A2832" s="73"/>
      <c r="B2832" s="73"/>
    </row>
    <row r="2833" spans="1:2" x14ac:dyDescent="0.25">
      <c r="A2833" s="73"/>
      <c r="B2833" s="73"/>
    </row>
    <row r="2834" spans="1:2" x14ac:dyDescent="0.25">
      <c r="A2834" s="73"/>
      <c r="B2834" s="73"/>
    </row>
    <row r="2835" spans="1:2" x14ac:dyDescent="0.25">
      <c r="A2835" s="73"/>
      <c r="B2835" s="73"/>
    </row>
    <row r="2836" spans="1:2" x14ac:dyDescent="0.25">
      <c r="A2836" s="73"/>
      <c r="B2836" s="73"/>
    </row>
    <row r="2837" spans="1:2" x14ac:dyDescent="0.25">
      <c r="A2837" s="73"/>
      <c r="B2837" s="73"/>
    </row>
    <row r="2838" spans="1:2" x14ac:dyDescent="0.25">
      <c r="A2838" s="73"/>
      <c r="B2838" s="73"/>
    </row>
    <row r="2839" spans="1:2" x14ac:dyDescent="0.25">
      <c r="A2839" s="73"/>
      <c r="B2839" s="73"/>
    </row>
    <row r="2840" spans="1:2" x14ac:dyDescent="0.25">
      <c r="A2840" s="73"/>
      <c r="B2840" s="73"/>
    </row>
    <row r="2841" spans="1:2" x14ac:dyDescent="0.25">
      <c r="A2841" s="73"/>
      <c r="B2841" s="73"/>
    </row>
    <row r="2842" spans="1:2" x14ac:dyDescent="0.25">
      <c r="A2842" s="73"/>
      <c r="B2842" s="73"/>
    </row>
    <row r="2843" spans="1:2" x14ac:dyDescent="0.25">
      <c r="A2843" s="73"/>
      <c r="B2843" s="73"/>
    </row>
    <row r="2844" spans="1:2" x14ac:dyDescent="0.25">
      <c r="A2844" s="73"/>
      <c r="B2844" s="73"/>
    </row>
    <row r="2845" spans="1:2" x14ac:dyDescent="0.25">
      <c r="A2845" s="73"/>
      <c r="B2845" s="73"/>
    </row>
    <row r="2846" spans="1:2" x14ac:dyDescent="0.25">
      <c r="A2846" s="73"/>
      <c r="B2846" s="73"/>
    </row>
    <row r="2847" spans="1:2" x14ac:dyDescent="0.25">
      <c r="A2847" s="73"/>
      <c r="B2847" s="73"/>
    </row>
    <row r="2848" spans="1:2" x14ac:dyDescent="0.25">
      <c r="A2848" s="73"/>
      <c r="B2848" s="73"/>
    </row>
    <row r="2849" spans="1:2" x14ac:dyDescent="0.25">
      <c r="A2849" s="73"/>
      <c r="B2849" s="73"/>
    </row>
    <row r="2850" spans="1:2" x14ac:dyDescent="0.25">
      <c r="A2850" s="73"/>
      <c r="B2850" s="73"/>
    </row>
    <row r="2851" spans="1:2" x14ac:dyDescent="0.25">
      <c r="A2851" s="73"/>
      <c r="B2851" s="73"/>
    </row>
    <row r="2852" spans="1:2" x14ac:dyDescent="0.25">
      <c r="A2852" s="73"/>
      <c r="B2852" s="73"/>
    </row>
    <row r="2853" spans="1:2" x14ac:dyDescent="0.25">
      <c r="A2853" s="73"/>
      <c r="B2853" s="73"/>
    </row>
    <row r="2854" spans="1:2" x14ac:dyDescent="0.25">
      <c r="A2854" s="73"/>
      <c r="B2854" s="73"/>
    </row>
    <row r="2855" spans="1:2" x14ac:dyDescent="0.25">
      <c r="A2855" s="73"/>
      <c r="B2855" s="73"/>
    </row>
    <row r="2856" spans="1:2" x14ac:dyDescent="0.25">
      <c r="A2856" s="73"/>
      <c r="B2856" s="73"/>
    </row>
    <row r="2857" spans="1:2" x14ac:dyDescent="0.25">
      <c r="A2857" s="73"/>
      <c r="B2857" s="73"/>
    </row>
    <row r="2858" spans="1:2" x14ac:dyDescent="0.25">
      <c r="A2858" s="73"/>
      <c r="B2858" s="73"/>
    </row>
    <row r="2859" spans="1:2" x14ac:dyDescent="0.25">
      <c r="A2859" s="73"/>
      <c r="B2859" s="73"/>
    </row>
    <row r="2860" spans="1:2" x14ac:dyDescent="0.25">
      <c r="A2860" s="73"/>
      <c r="B2860" s="73"/>
    </row>
    <row r="2861" spans="1:2" x14ac:dyDescent="0.25">
      <c r="A2861" s="73"/>
      <c r="B2861" s="73"/>
    </row>
    <row r="2862" spans="1:2" x14ac:dyDescent="0.25">
      <c r="A2862" s="73"/>
      <c r="B2862" s="73"/>
    </row>
    <row r="2863" spans="1:2" x14ac:dyDescent="0.25">
      <c r="A2863" s="73"/>
      <c r="B2863" s="73"/>
    </row>
    <row r="2864" spans="1:2" x14ac:dyDescent="0.25">
      <c r="A2864" s="73"/>
      <c r="B2864" s="73"/>
    </row>
    <row r="2865" spans="1:2" x14ac:dyDescent="0.25">
      <c r="A2865" s="73"/>
      <c r="B2865" s="73"/>
    </row>
    <row r="2866" spans="1:2" x14ac:dyDescent="0.25">
      <c r="A2866" s="73"/>
      <c r="B2866" s="73"/>
    </row>
    <row r="2867" spans="1:2" x14ac:dyDescent="0.25">
      <c r="A2867" s="73"/>
      <c r="B2867" s="73"/>
    </row>
    <row r="2868" spans="1:2" x14ac:dyDescent="0.25">
      <c r="A2868" s="73"/>
      <c r="B2868" s="73"/>
    </row>
    <row r="2869" spans="1:2" x14ac:dyDescent="0.25">
      <c r="A2869" s="73"/>
      <c r="B2869" s="73"/>
    </row>
    <row r="2870" spans="1:2" x14ac:dyDescent="0.25">
      <c r="A2870" s="73"/>
      <c r="B2870" s="73"/>
    </row>
    <row r="2871" spans="1:2" x14ac:dyDescent="0.25">
      <c r="A2871" s="73"/>
      <c r="B2871" s="73"/>
    </row>
    <row r="2872" spans="1:2" x14ac:dyDescent="0.25">
      <c r="A2872" s="73"/>
      <c r="B2872" s="73"/>
    </row>
    <row r="2873" spans="1:2" x14ac:dyDescent="0.25">
      <c r="A2873" s="73"/>
      <c r="B2873" s="73"/>
    </row>
    <row r="2874" spans="1:2" x14ac:dyDescent="0.25">
      <c r="A2874" s="73"/>
      <c r="B2874" s="73"/>
    </row>
    <row r="2875" spans="1:2" x14ac:dyDescent="0.25">
      <c r="A2875" s="73"/>
      <c r="B2875" s="73"/>
    </row>
    <row r="2876" spans="1:2" x14ac:dyDescent="0.25">
      <c r="A2876" s="73"/>
      <c r="B2876" s="73"/>
    </row>
    <row r="2877" spans="1:2" x14ac:dyDescent="0.25">
      <c r="A2877" s="73"/>
      <c r="B2877" s="73"/>
    </row>
    <row r="2878" spans="1:2" x14ac:dyDescent="0.25">
      <c r="A2878" s="73"/>
      <c r="B2878" s="73"/>
    </row>
    <row r="2879" spans="1:2" x14ac:dyDescent="0.25">
      <c r="A2879" s="73"/>
      <c r="B2879" s="73"/>
    </row>
    <row r="2880" spans="1:2" x14ac:dyDescent="0.25">
      <c r="A2880" s="73"/>
      <c r="B2880" s="73"/>
    </row>
    <row r="2881" spans="1:2" x14ac:dyDescent="0.25">
      <c r="A2881" s="73"/>
      <c r="B2881" s="73"/>
    </row>
    <row r="2882" spans="1:2" x14ac:dyDescent="0.25">
      <c r="A2882" s="73"/>
      <c r="B2882" s="73"/>
    </row>
    <row r="2883" spans="1:2" x14ac:dyDescent="0.25">
      <c r="A2883" s="73"/>
      <c r="B2883" s="73"/>
    </row>
    <row r="2884" spans="1:2" x14ac:dyDescent="0.25">
      <c r="A2884" s="73"/>
      <c r="B2884" s="73"/>
    </row>
    <row r="2885" spans="1:2" x14ac:dyDescent="0.25">
      <c r="A2885" s="73"/>
      <c r="B2885" s="73"/>
    </row>
    <row r="2886" spans="1:2" x14ac:dyDescent="0.25">
      <c r="A2886" s="73"/>
      <c r="B2886" s="73"/>
    </row>
    <row r="2887" spans="1:2" x14ac:dyDescent="0.25">
      <c r="A2887" s="73"/>
      <c r="B2887" s="73"/>
    </row>
    <row r="2888" spans="1:2" x14ac:dyDescent="0.25">
      <c r="A2888" s="73"/>
      <c r="B2888" s="73"/>
    </row>
    <row r="2889" spans="1:2" x14ac:dyDescent="0.25">
      <c r="A2889" s="73"/>
      <c r="B2889" s="73"/>
    </row>
    <row r="2890" spans="1:2" x14ac:dyDescent="0.25">
      <c r="A2890" s="73"/>
      <c r="B2890" s="73"/>
    </row>
    <row r="2891" spans="1:2" x14ac:dyDescent="0.25">
      <c r="A2891" s="73"/>
      <c r="B2891" s="73"/>
    </row>
    <row r="2892" spans="1:2" x14ac:dyDescent="0.25">
      <c r="A2892" s="73"/>
      <c r="B2892" s="73"/>
    </row>
    <row r="2893" spans="1:2" x14ac:dyDescent="0.25">
      <c r="A2893" s="73"/>
      <c r="B2893" s="73"/>
    </row>
    <row r="2894" spans="1:2" x14ac:dyDescent="0.25">
      <c r="A2894" s="73"/>
      <c r="B2894" s="73"/>
    </row>
    <row r="2895" spans="1:2" x14ac:dyDescent="0.25">
      <c r="A2895" s="73"/>
      <c r="B2895" s="73"/>
    </row>
    <row r="2896" spans="1:2" x14ac:dyDescent="0.25">
      <c r="A2896" s="73"/>
      <c r="B2896" s="73"/>
    </row>
    <row r="2897" spans="1:2" x14ac:dyDescent="0.25">
      <c r="A2897" s="73"/>
      <c r="B2897" s="73"/>
    </row>
    <row r="2898" spans="1:2" x14ac:dyDescent="0.25">
      <c r="A2898" s="73"/>
      <c r="B2898" s="73"/>
    </row>
    <row r="2899" spans="1:2" x14ac:dyDescent="0.25">
      <c r="A2899" s="73"/>
      <c r="B2899" s="73"/>
    </row>
    <row r="2900" spans="1:2" x14ac:dyDescent="0.25">
      <c r="A2900" s="73"/>
      <c r="B2900" s="73"/>
    </row>
    <row r="2901" spans="1:2" x14ac:dyDescent="0.25">
      <c r="A2901" s="73"/>
      <c r="B2901" s="73"/>
    </row>
    <row r="2902" spans="1:2" x14ac:dyDescent="0.25">
      <c r="A2902" s="73"/>
      <c r="B2902" s="73"/>
    </row>
    <row r="2903" spans="1:2" x14ac:dyDescent="0.25">
      <c r="A2903" s="73"/>
      <c r="B2903" s="73"/>
    </row>
    <row r="2904" spans="1:2" x14ac:dyDescent="0.25">
      <c r="A2904" s="73"/>
      <c r="B2904" s="73"/>
    </row>
    <row r="2905" spans="1:2" x14ac:dyDescent="0.25">
      <c r="A2905" s="73"/>
      <c r="B2905" s="73"/>
    </row>
    <row r="2906" spans="1:2" x14ac:dyDescent="0.25">
      <c r="A2906" s="73"/>
      <c r="B2906" s="73"/>
    </row>
    <row r="2907" spans="1:2" x14ac:dyDescent="0.25">
      <c r="A2907" s="73"/>
      <c r="B2907" s="73"/>
    </row>
    <row r="2908" spans="1:2" x14ac:dyDescent="0.25">
      <c r="A2908" s="73"/>
      <c r="B2908" s="73"/>
    </row>
    <row r="2909" spans="1:2" x14ac:dyDescent="0.25">
      <c r="A2909" s="73"/>
      <c r="B2909" s="73"/>
    </row>
    <row r="2910" spans="1:2" x14ac:dyDescent="0.25">
      <c r="A2910" s="73"/>
      <c r="B2910" s="73"/>
    </row>
    <row r="2911" spans="1:2" x14ac:dyDescent="0.25">
      <c r="A2911" s="73"/>
      <c r="B2911" s="73"/>
    </row>
    <row r="2912" spans="1:2" x14ac:dyDescent="0.25">
      <c r="A2912" s="73"/>
      <c r="B2912" s="73"/>
    </row>
    <row r="2913" spans="1:2" x14ac:dyDescent="0.25">
      <c r="A2913" s="73"/>
      <c r="B2913" s="73"/>
    </row>
    <row r="2914" spans="1:2" x14ac:dyDescent="0.25">
      <c r="A2914" s="73"/>
      <c r="B2914" s="73"/>
    </row>
    <row r="2915" spans="1:2" x14ac:dyDescent="0.25">
      <c r="A2915" s="73"/>
      <c r="B2915" s="73"/>
    </row>
    <row r="2916" spans="1:2" x14ac:dyDescent="0.25">
      <c r="A2916" s="73"/>
      <c r="B2916" s="73"/>
    </row>
    <row r="2917" spans="1:2" x14ac:dyDescent="0.25">
      <c r="A2917" s="73"/>
      <c r="B2917" s="73"/>
    </row>
    <row r="2918" spans="1:2" x14ac:dyDescent="0.25">
      <c r="A2918" s="73"/>
      <c r="B2918" s="73"/>
    </row>
    <row r="2919" spans="1:2" x14ac:dyDescent="0.25">
      <c r="A2919" s="73"/>
      <c r="B2919" s="73"/>
    </row>
    <row r="2920" spans="1:2" x14ac:dyDescent="0.25">
      <c r="A2920" s="73"/>
      <c r="B2920" s="73"/>
    </row>
    <row r="2921" spans="1:2" x14ac:dyDescent="0.25">
      <c r="A2921" s="73"/>
      <c r="B2921" s="73"/>
    </row>
    <row r="2922" spans="1:2" x14ac:dyDescent="0.25">
      <c r="A2922" s="73"/>
      <c r="B2922" s="73"/>
    </row>
    <row r="2923" spans="1:2" x14ac:dyDescent="0.25">
      <c r="A2923" s="73"/>
      <c r="B2923" s="73"/>
    </row>
    <row r="2924" spans="1:2" x14ac:dyDescent="0.25">
      <c r="A2924" s="73"/>
      <c r="B2924" s="73"/>
    </row>
    <row r="2925" spans="1:2" x14ac:dyDescent="0.25">
      <c r="A2925" s="73"/>
      <c r="B2925" s="73"/>
    </row>
    <row r="2926" spans="1:2" x14ac:dyDescent="0.25">
      <c r="A2926" s="73"/>
      <c r="B2926" s="73"/>
    </row>
    <row r="2927" spans="1:2" x14ac:dyDescent="0.25">
      <c r="A2927" s="73"/>
      <c r="B2927" s="73"/>
    </row>
    <row r="2928" spans="1:2" x14ac:dyDescent="0.25">
      <c r="A2928" s="73"/>
      <c r="B2928" s="73"/>
    </row>
    <row r="2929" spans="1:2" x14ac:dyDescent="0.25">
      <c r="A2929" s="73"/>
      <c r="B2929" s="73"/>
    </row>
    <row r="2930" spans="1:2" x14ac:dyDescent="0.25">
      <c r="A2930" s="73"/>
      <c r="B2930" s="73"/>
    </row>
    <row r="2931" spans="1:2" x14ac:dyDescent="0.25">
      <c r="A2931" s="73"/>
      <c r="B2931" s="73"/>
    </row>
    <row r="2932" spans="1:2" x14ac:dyDescent="0.25">
      <c r="A2932" s="73"/>
      <c r="B2932" s="73"/>
    </row>
    <row r="2933" spans="1:2" x14ac:dyDescent="0.25">
      <c r="A2933" s="73"/>
      <c r="B2933" s="73"/>
    </row>
    <row r="2934" spans="1:2" x14ac:dyDescent="0.25">
      <c r="A2934" s="73"/>
      <c r="B2934" s="73"/>
    </row>
    <row r="2935" spans="1:2" x14ac:dyDescent="0.25">
      <c r="A2935" s="73"/>
      <c r="B2935" s="73"/>
    </row>
    <row r="2936" spans="1:2" x14ac:dyDescent="0.25">
      <c r="A2936" s="73"/>
      <c r="B2936" s="73"/>
    </row>
    <row r="2937" spans="1:2" x14ac:dyDescent="0.25">
      <c r="A2937" s="73"/>
      <c r="B2937" s="73"/>
    </row>
    <row r="2938" spans="1:2" x14ac:dyDescent="0.25">
      <c r="A2938" s="73"/>
      <c r="B2938" s="73"/>
    </row>
    <row r="2939" spans="1:2" x14ac:dyDescent="0.25">
      <c r="A2939" s="73"/>
      <c r="B2939" s="73"/>
    </row>
    <row r="2940" spans="1:2" x14ac:dyDescent="0.25">
      <c r="A2940" s="73"/>
      <c r="B2940" s="73"/>
    </row>
    <row r="2941" spans="1:2" x14ac:dyDescent="0.25">
      <c r="A2941" s="73"/>
      <c r="B2941" s="73"/>
    </row>
    <row r="2942" spans="1:2" x14ac:dyDescent="0.25">
      <c r="A2942" s="73"/>
      <c r="B2942" s="73"/>
    </row>
    <row r="2943" spans="1:2" x14ac:dyDescent="0.25">
      <c r="A2943" s="73"/>
      <c r="B2943" s="73"/>
    </row>
    <row r="2944" spans="1:2" x14ac:dyDescent="0.25">
      <c r="A2944" s="73"/>
      <c r="B2944" s="73"/>
    </row>
    <row r="2945" spans="1:2" x14ac:dyDescent="0.25">
      <c r="A2945" s="73"/>
      <c r="B2945" s="73"/>
    </row>
    <row r="2946" spans="1:2" x14ac:dyDescent="0.25">
      <c r="A2946" s="73"/>
      <c r="B2946" s="73"/>
    </row>
    <row r="2947" spans="1:2" x14ac:dyDescent="0.25">
      <c r="A2947" s="73"/>
      <c r="B2947" s="73"/>
    </row>
    <row r="2948" spans="1:2" x14ac:dyDescent="0.25">
      <c r="A2948" s="73"/>
      <c r="B2948" s="73"/>
    </row>
    <row r="2949" spans="1:2" x14ac:dyDescent="0.25">
      <c r="A2949" s="73"/>
      <c r="B2949" s="73"/>
    </row>
    <row r="2950" spans="1:2" x14ac:dyDescent="0.25">
      <c r="A2950" s="73"/>
      <c r="B2950" s="73"/>
    </row>
    <row r="2951" spans="1:2" x14ac:dyDescent="0.25">
      <c r="A2951" s="73"/>
      <c r="B2951" s="73"/>
    </row>
    <row r="2952" spans="1:2" x14ac:dyDescent="0.25">
      <c r="A2952" s="73"/>
      <c r="B2952" s="73"/>
    </row>
    <row r="2953" spans="1:2" x14ac:dyDescent="0.25">
      <c r="A2953" s="73"/>
      <c r="B2953" s="73"/>
    </row>
    <row r="2954" spans="1:2" x14ac:dyDescent="0.25">
      <c r="A2954" s="73"/>
      <c r="B2954" s="73"/>
    </row>
    <row r="2955" spans="1:2" x14ac:dyDescent="0.25">
      <c r="A2955" s="73"/>
      <c r="B2955" s="73"/>
    </row>
    <row r="2956" spans="1:2" x14ac:dyDescent="0.25">
      <c r="A2956" s="73"/>
      <c r="B2956" s="73"/>
    </row>
    <row r="2957" spans="1:2" x14ac:dyDescent="0.25">
      <c r="A2957" s="73"/>
      <c r="B2957" s="73"/>
    </row>
    <row r="2958" spans="1:2" x14ac:dyDescent="0.25">
      <c r="A2958" s="73"/>
      <c r="B2958" s="73"/>
    </row>
    <row r="2959" spans="1:2" x14ac:dyDescent="0.25">
      <c r="A2959" s="73"/>
      <c r="B2959" s="73"/>
    </row>
    <row r="2960" spans="1:2" x14ac:dyDescent="0.25">
      <c r="A2960" s="73"/>
      <c r="B2960" s="73"/>
    </row>
    <row r="2961" spans="1:2" x14ac:dyDescent="0.25">
      <c r="A2961" s="73"/>
      <c r="B2961" s="73"/>
    </row>
    <row r="2962" spans="1:2" x14ac:dyDescent="0.25">
      <c r="A2962" s="73"/>
      <c r="B2962" s="73"/>
    </row>
    <row r="2963" spans="1:2" x14ac:dyDescent="0.25">
      <c r="A2963" s="73"/>
      <c r="B2963" s="73"/>
    </row>
    <row r="2964" spans="1:2" x14ac:dyDescent="0.25">
      <c r="A2964" s="73"/>
      <c r="B2964" s="73"/>
    </row>
    <row r="2965" spans="1:2" x14ac:dyDescent="0.25">
      <c r="A2965" s="73"/>
      <c r="B2965" s="73"/>
    </row>
    <row r="2966" spans="1:2" x14ac:dyDescent="0.25">
      <c r="A2966" s="73"/>
      <c r="B2966" s="73"/>
    </row>
    <row r="2967" spans="1:2" x14ac:dyDescent="0.25">
      <c r="A2967" s="73"/>
      <c r="B2967" s="73"/>
    </row>
    <row r="2968" spans="1:2" x14ac:dyDescent="0.25">
      <c r="A2968" s="73"/>
      <c r="B2968" s="73"/>
    </row>
    <row r="2969" spans="1:2" x14ac:dyDescent="0.25">
      <c r="A2969" s="73"/>
      <c r="B2969" s="73"/>
    </row>
    <row r="2970" spans="1:2" x14ac:dyDescent="0.25">
      <c r="A2970" s="73"/>
      <c r="B2970" s="73"/>
    </row>
    <row r="2971" spans="1:2" x14ac:dyDescent="0.25">
      <c r="A2971" s="73"/>
      <c r="B2971" s="73"/>
    </row>
    <row r="2972" spans="1:2" x14ac:dyDescent="0.25">
      <c r="A2972" s="73"/>
      <c r="B2972" s="73"/>
    </row>
    <row r="2973" spans="1:2" x14ac:dyDescent="0.25">
      <c r="A2973" s="73"/>
      <c r="B2973" s="73"/>
    </row>
    <row r="2974" spans="1:2" x14ac:dyDescent="0.25">
      <c r="A2974" s="73"/>
      <c r="B2974" s="73"/>
    </row>
    <row r="2975" spans="1:2" x14ac:dyDescent="0.25">
      <c r="A2975" s="73"/>
      <c r="B2975" s="73"/>
    </row>
    <row r="2976" spans="1:2" x14ac:dyDescent="0.25">
      <c r="A2976" s="73"/>
      <c r="B2976" s="73"/>
    </row>
    <row r="2977" spans="1:2" x14ac:dyDescent="0.25">
      <c r="A2977" s="73"/>
      <c r="B2977" s="73"/>
    </row>
    <row r="2978" spans="1:2" x14ac:dyDescent="0.25">
      <c r="A2978" s="73"/>
      <c r="B2978" s="73"/>
    </row>
    <row r="2979" spans="1:2" x14ac:dyDescent="0.25">
      <c r="A2979" s="73"/>
      <c r="B2979" s="73"/>
    </row>
    <row r="2980" spans="1:2" x14ac:dyDescent="0.25">
      <c r="A2980" s="73"/>
      <c r="B2980" s="73"/>
    </row>
    <row r="2981" spans="1:2" x14ac:dyDescent="0.25">
      <c r="A2981" s="73"/>
      <c r="B2981" s="73"/>
    </row>
    <row r="2982" spans="1:2" x14ac:dyDescent="0.25">
      <c r="A2982" s="73"/>
      <c r="B2982" s="73"/>
    </row>
    <row r="2983" spans="1:2" x14ac:dyDescent="0.25">
      <c r="A2983" s="73"/>
      <c r="B2983" s="73"/>
    </row>
    <row r="2984" spans="1:2" x14ac:dyDescent="0.25">
      <c r="A2984" s="73"/>
      <c r="B2984" s="73"/>
    </row>
    <row r="2985" spans="1:2" x14ac:dyDescent="0.25">
      <c r="A2985" s="73"/>
      <c r="B2985" s="73"/>
    </row>
    <row r="2986" spans="1:2" x14ac:dyDescent="0.25">
      <c r="A2986" s="73"/>
      <c r="B2986" s="73"/>
    </row>
    <row r="2987" spans="1:2" x14ac:dyDescent="0.25">
      <c r="A2987" s="73"/>
      <c r="B2987" s="73"/>
    </row>
    <row r="2988" spans="1:2" x14ac:dyDescent="0.25">
      <c r="A2988" s="73"/>
      <c r="B2988" s="73"/>
    </row>
    <row r="2989" spans="1:2" x14ac:dyDescent="0.25">
      <c r="A2989" s="73"/>
      <c r="B2989" s="73"/>
    </row>
    <row r="2990" spans="1:2" x14ac:dyDescent="0.25">
      <c r="A2990" s="73"/>
      <c r="B2990" s="73"/>
    </row>
    <row r="2991" spans="1:2" x14ac:dyDescent="0.25">
      <c r="A2991" s="73"/>
      <c r="B2991" s="73"/>
    </row>
    <row r="2992" spans="1:2" x14ac:dyDescent="0.25">
      <c r="A2992" s="73"/>
      <c r="B2992" s="73"/>
    </row>
    <row r="2993" spans="1:2" x14ac:dyDescent="0.25">
      <c r="A2993" s="73"/>
      <c r="B2993" s="73"/>
    </row>
    <row r="2994" spans="1:2" x14ac:dyDescent="0.25">
      <c r="A2994" s="73"/>
      <c r="B2994" s="73"/>
    </row>
    <row r="2995" spans="1:2" x14ac:dyDescent="0.25">
      <c r="A2995" s="73"/>
      <c r="B2995" s="73"/>
    </row>
    <row r="2996" spans="1:2" x14ac:dyDescent="0.25">
      <c r="A2996" s="73"/>
      <c r="B2996" s="73"/>
    </row>
    <row r="2997" spans="1:2" x14ac:dyDescent="0.25">
      <c r="A2997" s="73"/>
      <c r="B2997" s="73"/>
    </row>
    <row r="2998" spans="1:2" x14ac:dyDescent="0.25">
      <c r="A2998" s="73"/>
      <c r="B2998" s="73"/>
    </row>
    <row r="2999" spans="1:2" x14ac:dyDescent="0.25">
      <c r="A2999" s="73"/>
      <c r="B2999" s="73"/>
    </row>
    <row r="3000" spans="1:2" x14ac:dyDescent="0.25">
      <c r="A3000" s="73"/>
      <c r="B3000" s="73"/>
    </row>
    <row r="3001" spans="1:2" x14ac:dyDescent="0.25">
      <c r="A3001" s="73"/>
      <c r="B3001" s="73"/>
    </row>
    <row r="3002" spans="1:2" x14ac:dyDescent="0.25">
      <c r="A3002" s="73"/>
      <c r="B3002" s="73"/>
    </row>
    <row r="3003" spans="1:2" x14ac:dyDescent="0.25">
      <c r="A3003" s="73"/>
      <c r="B3003" s="73"/>
    </row>
    <row r="3004" spans="1:2" x14ac:dyDescent="0.25">
      <c r="A3004" s="73"/>
      <c r="B3004" s="73"/>
    </row>
    <row r="3005" spans="1:2" x14ac:dyDescent="0.25">
      <c r="A3005" s="73"/>
      <c r="B3005" s="73"/>
    </row>
    <row r="3006" spans="1:2" x14ac:dyDescent="0.25">
      <c r="A3006" s="73"/>
      <c r="B3006" s="73"/>
    </row>
    <row r="3007" spans="1:2" x14ac:dyDescent="0.25">
      <c r="A3007" s="73"/>
      <c r="B3007" s="73"/>
    </row>
    <row r="3008" spans="1:2" x14ac:dyDescent="0.25">
      <c r="A3008" s="73"/>
      <c r="B3008" s="73"/>
    </row>
    <row r="3009" spans="1:2" x14ac:dyDescent="0.25">
      <c r="A3009" s="73"/>
      <c r="B3009" s="73"/>
    </row>
    <row r="3010" spans="1:2" x14ac:dyDescent="0.25">
      <c r="A3010" s="73"/>
      <c r="B3010" s="73"/>
    </row>
    <row r="3011" spans="1:2" x14ac:dyDescent="0.25">
      <c r="A3011" s="73"/>
      <c r="B3011" s="73"/>
    </row>
    <row r="3012" spans="1:2" x14ac:dyDescent="0.25">
      <c r="A3012" s="73"/>
      <c r="B3012" s="73"/>
    </row>
    <row r="3013" spans="1:2" x14ac:dyDescent="0.25">
      <c r="A3013" s="73"/>
      <c r="B3013" s="73"/>
    </row>
    <row r="3014" spans="1:2" x14ac:dyDescent="0.25">
      <c r="A3014" s="73"/>
      <c r="B3014" s="73"/>
    </row>
    <row r="3015" spans="1:2" x14ac:dyDescent="0.25">
      <c r="A3015" s="73"/>
      <c r="B3015" s="73"/>
    </row>
    <row r="3016" spans="1:2" x14ac:dyDescent="0.25">
      <c r="A3016" s="73"/>
      <c r="B3016" s="73"/>
    </row>
    <row r="3017" spans="1:2" x14ac:dyDescent="0.25">
      <c r="A3017" s="73"/>
      <c r="B3017" s="73"/>
    </row>
    <row r="3018" spans="1:2" x14ac:dyDescent="0.25">
      <c r="A3018" s="73"/>
      <c r="B3018" s="73"/>
    </row>
    <row r="3019" spans="1:2" x14ac:dyDescent="0.25">
      <c r="A3019" s="73"/>
      <c r="B3019" s="73"/>
    </row>
    <row r="3020" spans="1:2" x14ac:dyDescent="0.25">
      <c r="A3020" s="73"/>
      <c r="B3020" s="73"/>
    </row>
    <row r="3021" spans="1:2" x14ac:dyDescent="0.25">
      <c r="A3021" s="73"/>
      <c r="B3021" s="73"/>
    </row>
    <row r="3022" spans="1:2" x14ac:dyDescent="0.25">
      <c r="A3022" s="73"/>
      <c r="B3022" s="73"/>
    </row>
    <row r="3023" spans="1:2" x14ac:dyDescent="0.25">
      <c r="A3023" s="73"/>
      <c r="B3023" s="73"/>
    </row>
    <row r="3024" spans="1:2" x14ac:dyDescent="0.25">
      <c r="A3024" s="73"/>
      <c r="B3024" s="73"/>
    </row>
    <row r="3025" spans="1:2" x14ac:dyDescent="0.25">
      <c r="A3025" s="73"/>
      <c r="B3025" s="73"/>
    </row>
    <row r="3026" spans="1:2" x14ac:dyDescent="0.25">
      <c r="A3026" s="73"/>
      <c r="B3026" s="73"/>
    </row>
    <row r="3027" spans="1:2" x14ac:dyDescent="0.25">
      <c r="A3027" s="73"/>
      <c r="B3027" s="73"/>
    </row>
    <row r="3028" spans="1:2" x14ac:dyDescent="0.25">
      <c r="A3028" s="73"/>
      <c r="B3028" s="73"/>
    </row>
    <row r="3029" spans="1:2" x14ac:dyDescent="0.25">
      <c r="A3029" s="73"/>
      <c r="B3029" s="73"/>
    </row>
    <row r="3030" spans="1:2" x14ac:dyDescent="0.25">
      <c r="A3030" s="73"/>
      <c r="B3030" s="73"/>
    </row>
    <row r="3031" spans="1:2" x14ac:dyDescent="0.25">
      <c r="A3031" s="73"/>
      <c r="B3031" s="73"/>
    </row>
    <row r="3032" spans="1:2" x14ac:dyDescent="0.25">
      <c r="A3032" s="73"/>
      <c r="B3032" s="73"/>
    </row>
    <row r="3033" spans="1:2" x14ac:dyDescent="0.25">
      <c r="A3033" s="73"/>
      <c r="B3033" s="73"/>
    </row>
    <row r="3034" spans="1:2" x14ac:dyDescent="0.25">
      <c r="A3034" s="73"/>
      <c r="B3034" s="73"/>
    </row>
    <row r="3035" spans="1:2" x14ac:dyDescent="0.25">
      <c r="A3035" s="73"/>
      <c r="B3035" s="73"/>
    </row>
    <row r="3036" spans="1:2" x14ac:dyDescent="0.25">
      <c r="A3036" s="73"/>
      <c r="B3036" s="73"/>
    </row>
    <row r="3037" spans="1:2" x14ac:dyDescent="0.25">
      <c r="A3037" s="73"/>
      <c r="B3037" s="73"/>
    </row>
    <row r="3038" spans="1:2" x14ac:dyDescent="0.25">
      <c r="A3038" s="73"/>
      <c r="B3038" s="73"/>
    </row>
    <row r="3039" spans="1:2" x14ac:dyDescent="0.25">
      <c r="A3039" s="73"/>
      <c r="B3039" s="73"/>
    </row>
    <row r="3040" spans="1:2" x14ac:dyDescent="0.25">
      <c r="A3040" s="73"/>
      <c r="B3040" s="73"/>
    </row>
    <row r="3041" spans="1:2" x14ac:dyDescent="0.25">
      <c r="A3041" s="73"/>
      <c r="B3041" s="73"/>
    </row>
    <row r="3042" spans="1:2" x14ac:dyDescent="0.25">
      <c r="A3042" s="73"/>
      <c r="B3042" s="73"/>
    </row>
    <row r="3043" spans="1:2" x14ac:dyDescent="0.25">
      <c r="A3043" s="73"/>
      <c r="B3043" s="73"/>
    </row>
    <row r="3044" spans="1:2" x14ac:dyDescent="0.25">
      <c r="A3044" s="73"/>
      <c r="B3044" s="73"/>
    </row>
    <row r="3045" spans="1:2" x14ac:dyDescent="0.25">
      <c r="A3045" s="73"/>
      <c r="B3045" s="73"/>
    </row>
    <row r="3046" spans="1:2" x14ac:dyDescent="0.25">
      <c r="A3046" s="73"/>
      <c r="B3046" s="73"/>
    </row>
    <row r="3047" spans="1:2" x14ac:dyDescent="0.25">
      <c r="A3047" s="73"/>
      <c r="B3047" s="73"/>
    </row>
    <row r="3048" spans="1:2" x14ac:dyDescent="0.25">
      <c r="A3048" s="73"/>
      <c r="B3048" s="73"/>
    </row>
    <row r="3049" spans="1:2" x14ac:dyDescent="0.25">
      <c r="A3049" s="73"/>
      <c r="B3049" s="73"/>
    </row>
    <row r="3050" spans="1:2" x14ac:dyDescent="0.25">
      <c r="A3050" s="73"/>
      <c r="B3050" s="73"/>
    </row>
    <row r="3051" spans="1:2" x14ac:dyDescent="0.25">
      <c r="A3051" s="73"/>
      <c r="B3051" s="73"/>
    </row>
    <row r="3052" spans="1:2" x14ac:dyDescent="0.25">
      <c r="A3052" s="73"/>
      <c r="B3052" s="73"/>
    </row>
    <row r="3053" spans="1:2" x14ac:dyDescent="0.25">
      <c r="A3053" s="73"/>
      <c r="B3053" s="73"/>
    </row>
    <row r="3054" spans="1:2" x14ac:dyDescent="0.25">
      <c r="A3054" s="73"/>
      <c r="B3054" s="73"/>
    </row>
    <row r="3055" spans="1:2" x14ac:dyDescent="0.25">
      <c r="A3055" s="73"/>
      <c r="B3055" s="73"/>
    </row>
    <row r="3056" spans="1:2" x14ac:dyDescent="0.25">
      <c r="A3056" s="73"/>
      <c r="B3056" s="73"/>
    </row>
    <row r="3057" spans="1:2" x14ac:dyDescent="0.25">
      <c r="A3057" s="73"/>
      <c r="B3057" s="73"/>
    </row>
    <row r="3058" spans="1:2" x14ac:dyDescent="0.25">
      <c r="A3058" s="73"/>
      <c r="B3058" s="73"/>
    </row>
    <row r="3059" spans="1:2" x14ac:dyDescent="0.25">
      <c r="A3059" s="73"/>
      <c r="B3059" s="73"/>
    </row>
    <row r="3060" spans="1:2" x14ac:dyDescent="0.25">
      <c r="A3060" s="73"/>
      <c r="B3060" s="73"/>
    </row>
    <row r="3061" spans="1:2" x14ac:dyDescent="0.25">
      <c r="A3061" s="73"/>
      <c r="B3061" s="73"/>
    </row>
    <row r="3062" spans="1:2" x14ac:dyDescent="0.25">
      <c r="A3062" s="73"/>
      <c r="B3062" s="73"/>
    </row>
    <row r="3063" spans="1:2" x14ac:dyDescent="0.25">
      <c r="A3063" s="73"/>
      <c r="B3063" s="73"/>
    </row>
    <row r="3064" spans="1:2" x14ac:dyDescent="0.25">
      <c r="A3064" s="73"/>
      <c r="B3064" s="73"/>
    </row>
    <row r="3065" spans="1:2" x14ac:dyDescent="0.25">
      <c r="A3065" s="73"/>
      <c r="B3065" s="73"/>
    </row>
    <row r="3066" spans="1:2" x14ac:dyDescent="0.25">
      <c r="A3066" s="73"/>
      <c r="B3066" s="73"/>
    </row>
    <row r="3067" spans="1:2" x14ac:dyDescent="0.25">
      <c r="A3067" s="73"/>
      <c r="B3067" s="73"/>
    </row>
    <row r="3068" spans="1:2" x14ac:dyDescent="0.25">
      <c r="A3068" s="73"/>
      <c r="B3068" s="73"/>
    </row>
    <row r="3069" spans="1:2" x14ac:dyDescent="0.25">
      <c r="A3069" s="73"/>
      <c r="B3069" s="73"/>
    </row>
    <row r="3070" spans="1:2" x14ac:dyDescent="0.25">
      <c r="A3070" s="73"/>
      <c r="B3070" s="73"/>
    </row>
    <row r="3071" spans="1:2" x14ac:dyDescent="0.25">
      <c r="A3071" s="73"/>
      <c r="B3071" s="73"/>
    </row>
    <row r="3072" spans="1:2" x14ac:dyDescent="0.25">
      <c r="A3072" s="73"/>
      <c r="B3072" s="73"/>
    </row>
    <row r="3073" spans="1:2" x14ac:dyDescent="0.25">
      <c r="A3073" s="73"/>
      <c r="B3073" s="73"/>
    </row>
    <row r="3074" spans="1:2" x14ac:dyDescent="0.25">
      <c r="A3074" s="73"/>
      <c r="B3074" s="73"/>
    </row>
    <row r="3075" spans="1:2" x14ac:dyDescent="0.25">
      <c r="A3075" s="73"/>
      <c r="B3075" s="73"/>
    </row>
    <row r="3076" spans="1:2" x14ac:dyDescent="0.25">
      <c r="A3076" s="73"/>
      <c r="B3076" s="73"/>
    </row>
    <row r="3077" spans="1:2" x14ac:dyDescent="0.25">
      <c r="A3077" s="73"/>
      <c r="B3077" s="73"/>
    </row>
    <row r="3078" spans="1:2" x14ac:dyDescent="0.25">
      <c r="A3078" s="73"/>
      <c r="B3078" s="73"/>
    </row>
    <row r="3079" spans="1:2" x14ac:dyDescent="0.25">
      <c r="A3079" s="73"/>
      <c r="B3079" s="73"/>
    </row>
    <row r="3080" spans="1:2" x14ac:dyDescent="0.25">
      <c r="A3080" s="73"/>
      <c r="B3080" s="73"/>
    </row>
    <row r="3081" spans="1:2" x14ac:dyDescent="0.25">
      <c r="A3081" s="73"/>
      <c r="B3081" s="73"/>
    </row>
    <row r="3082" spans="1:2" x14ac:dyDescent="0.25">
      <c r="A3082" s="73"/>
      <c r="B3082" s="73"/>
    </row>
    <row r="3083" spans="1:2" x14ac:dyDescent="0.25">
      <c r="A3083" s="73"/>
      <c r="B3083" s="73"/>
    </row>
    <row r="3084" spans="1:2" x14ac:dyDescent="0.25">
      <c r="A3084" s="73"/>
      <c r="B3084" s="73"/>
    </row>
    <row r="3085" spans="1:2" x14ac:dyDescent="0.25">
      <c r="A3085" s="73"/>
      <c r="B3085" s="73"/>
    </row>
    <row r="3086" spans="1:2" x14ac:dyDescent="0.25">
      <c r="A3086" s="73"/>
      <c r="B3086" s="73"/>
    </row>
    <row r="3087" spans="1:2" x14ac:dyDescent="0.25">
      <c r="A3087" s="73"/>
      <c r="B3087" s="73"/>
    </row>
    <row r="3088" spans="1:2" x14ac:dyDescent="0.25">
      <c r="A3088" s="73"/>
      <c r="B3088" s="73"/>
    </row>
    <row r="3089" spans="1:2" x14ac:dyDescent="0.25">
      <c r="A3089" s="73"/>
      <c r="B3089" s="73"/>
    </row>
    <row r="3090" spans="1:2" x14ac:dyDescent="0.25">
      <c r="A3090" s="73"/>
      <c r="B3090" s="73"/>
    </row>
    <row r="3091" spans="1:2" x14ac:dyDescent="0.25">
      <c r="A3091" s="73"/>
      <c r="B3091" s="73"/>
    </row>
    <row r="3092" spans="1:2" x14ac:dyDescent="0.25">
      <c r="A3092" s="73"/>
      <c r="B3092" s="73"/>
    </row>
    <row r="3093" spans="1:2" x14ac:dyDescent="0.25">
      <c r="A3093" s="73"/>
      <c r="B3093" s="73"/>
    </row>
    <row r="3094" spans="1:2" x14ac:dyDescent="0.25">
      <c r="A3094" s="73"/>
      <c r="B3094" s="73"/>
    </row>
    <row r="3095" spans="1:2" x14ac:dyDescent="0.25">
      <c r="A3095" s="73"/>
      <c r="B3095" s="73"/>
    </row>
    <row r="3096" spans="1:2" x14ac:dyDescent="0.25">
      <c r="A3096" s="73"/>
      <c r="B3096" s="73"/>
    </row>
    <row r="3097" spans="1:2" x14ac:dyDescent="0.25">
      <c r="A3097" s="73"/>
      <c r="B3097" s="73"/>
    </row>
    <row r="3098" spans="1:2" x14ac:dyDescent="0.25">
      <c r="A3098" s="73"/>
      <c r="B3098" s="73"/>
    </row>
    <row r="3099" spans="1:2" x14ac:dyDescent="0.25">
      <c r="A3099" s="73"/>
      <c r="B3099" s="73"/>
    </row>
    <row r="3100" spans="1:2" x14ac:dyDescent="0.25">
      <c r="A3100" s="73"/>
      <c r="B3100" s="73"/>
    </row>
    <row r="3101" spans="1:2" x14ac:dyDescent="0.25">
      <c r="A3101" s="73"/>
      <c r="B3101" s="73"/>
    </row>
    <row r="3102" spans="1:2" x14ac:dyDescent="0.25">
      <c r="A3102" s="73"/>
      <c r="B3102" s="73"/>
    </row>
    <row r="3103" spans="1:2" x14ac:dyDescent="0.25">
      <c r="A3103" s="73"/>
      <c r="B3103" s="73"/>
    </row>
    <row r="3104" spans="1:2" x14ac:dyDescent="0.25">
      <c r="A3104" s="73"/>
      <c r="B3104" s="73"/>
    </row>
    <row r="3105" spans="1:2" x14ac:dyDescent="0.25">
      <c r="A3105" s="73"/>
      <c r="B3105" s="73"/>
    </row>
    <row r="3106" spans="1:2" x14ac:dyDescent="0.25">
      <c r="A3106" s="73"/>
      <c r="B3106" s="73"/>
    </row>
    <row r="3107" spans="1:2" x14ac:dyDescent="0.25">
      <c r="A3107" s="73"/>
      <c r="B3107" s="73"/>
    </row>
    <row r="3108" spans="1:2" x14ac:dyDescent="0.25">
      <c r="A3108" s="73"/>
      <c r="B3108" s="73"/>
    </row>
    <row r="3109" spans="1:2" x14ac:dyDescent="0.25">
      <c r="A3109" s="73"/>
      <c r="B3109" s="73"/>
    </row>
    <row r="3110" spans="1:2" x14ac:dyDescent="0.25">
      <c r="A3110" s="73"/>
      <c r="B3110" s="73"/>
    </row>
    <row r="3111" spans="1:2" x14ac:dyDescent="0.25">
      <c r="A3111" s="73"/>
      <c r="B3111" s="73"/>
    </row>
    <row r="3112" spans="1:2" x14ac:dyDescent="0.25">
      <c r="A3112" s="73"/>
      <c r="B3112" s="73"/>
    </row>
    <row r="3113" spans="1:2" x14ac:dyDescent="0.25">
      <c r="A3113" s="73"/>
      <c r="B3113" s="73"/>
    </row>
    <row r="3114" spans="1:2" x14ac:dyDescent="0.25">
      <c r="A3114" s="73"/>
      <c r="B3114" s="73"/>
    </row>
    <row r="3115" spans="1:2" x14ac:dyDescent="0.25">
      <c r="A3115" s="73"/>
      <c r="B3115" s="73"/>
    </row>
    <row r="3116" spans="1:2" x14ac:dyDescent="0.25">
      <c r="A3116" s="73"/>
      <c r="B3116" s="73"/>
    </row>
    <row r="3117" spans="1:2" x14ac:dyDescent="0.25">
      <c r="A3117" s="73"/>
      <c r="B3117" s="73"/>
    </row>
    <row r="3118" spans="1:2" x14ac:dyDescent="0.25">
      <c r="A3118" s="73"/>
      <c r="B3118" s="73"/>
    </row>
    <row r="3119" spans="1:2" x14ac:dyDescent="0.25">
      <c r="A3119" s="73"/>
      <c r="B3119" s="73"/>
    </row>
    <row r="3120" spans="1:2" x14ac:dyDescent="0.25">
      <c r="A3120" s="73"/>
      <c r="B3120" s="73"/>
    </row>
    <row r="3121" spans="1:2" x14ac:dyDescent="0.25">
      <c r="A3121" s="73"/>
      <c r="B3121" s="73"/>
    </row>
    <row r="3122" spans="1:2" x14ac:dyDescent="0.25">
      <c r="A3122" s="73"/>
      <c r="B3122" s="73"/>
    </row>
    <row r="3123" spans="1:2" x14ac:dyDescent="0.25">
      <c r="A3123" s="73"/>
      <c r="B3123" s="73"/>
    </row>
    <row r="3124" spans="1:2" x14ac:dyDescent="0.25">
      <c r="A3124" s="73"/>
      <c r="B3124" s="73"/>
    </row>
    <row r="3125" spans="1:2" x14ac:dyDescent="0.25">
      <c r="A3125" s="73"/>
      <c r="B3125" s="73"/>
    </row>
    <row r="3126" spans="1:2" x14ac:dyDescent="0.25">
      <c r="A3126" s="73"/>
      <c r="B3126" s="73"/>
    </row>
    <row r="3127" spans="1:2" x14ac:dyDescent="0.25">
      <c r="A3127" s="73"/>
      <c r="B3127" s="73"/>
    </row>
    <row r="3128" spans="1:2" x14ac:dyDescent="0.25">
      <c r="A3128" s="73"/>
      <c r="B3128" s="73"/>
    </row>
    <row r="3129" spans="1:2" x14ac:dyDescent="0.25">
      <c r="A3129" s="73"/>
      <c r="B3129" s="73"/>
    </row>
    <row r="3130" spans="1:2" x14ac:dyDescent="0.25">
      <c r="A3130" s="73"/>
      <c r="B3130" s="73"/>
    </row>
    <row r="3131" spans="1:2" x14ac:dyDescent="0.25">
      <c r="A3131" s="73"/>
      <c r="B3131" s="73"/>
    </row>
    <row r="3132" spans="1:2" x14ac:dyDescent="0.25">
      <c r="A3132" s="73"/>
      <c r="B3132" s="73"/>
    </row>
    <row r="3133" spans="1:2" x14ac:dyDescent="0.25">
      <c r="A3133" s="73"/>
      <c r="B3133" s="73"/>
    </row>
    <row r="3134" spans="1:2" x14ac:dyDescent="0.25">
      <c r="A3134" s="73"/>
      <c r="B3134" s="73"/>
    </row>
    <row r="3135" spans="1:2" x14ac:dyDescent="0.25">
      <c r="A3135" s="73"/>
      <c r="B3135" s="73"/>
    </row>
    <row r="3136" spans="1:2" x14ac:dyDescent="0.25">
      <c r="A3136" s="73"/>
      <c r="B3136" s="73"/>
    </row>
    <row r="3137" spans="1:2" x14ac:dyDescent="0.25">
      <c r="A3137" s="73"/>
      <c r="B3137" s="73"/>
    </row>
    <row r="3138" spans="1:2" x14ac:dyDescent="0.25">
      <c r="A3138" s="73"/>
      <c r="B3138" s="73"/>
    </row>
    <row r="3139" spans="1:2" x14ac:dyDescent="0.25">
      <c r="A3139" s="73"/>
      <c r="B3139" s="73"/>
    </row>
    <row r="3140" spans="1:2" x14ac:dyDescent="0.25">
      <c r="A3140" s="73"/>
      <c r="B3140" s="73"/>
    </row>
    <row r="3141" spans="1:2" x14ac:dyDescent="0.25">
      <c r="A3141" s="73"/>
      <c r="B3141" s="73"/>
    </row>
    <row r="3142" spans="1:2" x14ac:dyDescent="0.25">
      <c r="A3142" s="73"/>
      <c r="B3142" s="73"/>
    </row>
    <row r="3143" spans="1:2" x14ac:dyDescent="0.25">
      <c r="A3143" s="73"/>
      <c r="B3143" s="73"/>
    </row>
    <row r="3144" spans="1:2" x14ac:dyDescent="0.25">
      <c r="A3144" s="73"/>
      <c r="B3144" s="73"/>
    </row>
    <row r="3145" spans="1:2" x14ac:dyDescent="0.25">
      <c r="A3145" s="73"/>
      <c r="B3145" s="73"/>
    </row>
    <row r="3146" spans="1:2" x14ac:dyDescent="0.25">
      <c r="A3146" s="73"/>
      <c r="B3146" s="73"/>
    </row>
    <row r="3147" spans="1:2" x14ac:dyDescent="0.25">
      <c r="A3147" s="73"/>
      <c r="B3147" s="73"/>
    </row>
    <row r="3148" spans="1:2" x14ac:dyDescent="0.25">
      <c r="A3148" s="73"/>
      <c r="B3148" s="73"/>
    </row>
    <row r="3149" spans="1:2" x14ac:dyDescent="0.25">
      <c r="A3149" s="73"/>
      <c r="B3149" s="73"/>
    </row>
    <row r="3150" spans="1:2" x14ac:dyDescent="0.25">
      <c r="A3150" s="73"/>
      <c r="B3150" s="73"/>
    </row>
    <row r="3151" spans="1:2" x14ac:dyDescent="0.25">
      <c r="A3151" s="73"/>
      <c r="B3151" s="73"/>
    </row>
    <row r="3152" spans="1:2" x14ac:dyDescent="0.25">
      <c r="A3152" s="73"/>
      <c r="B3152" s="73"/>
    </row>
    <row r="3153" spans="1:2" x14ac:dyDescent="0.25">
      <c r="A3153" s="73"/>
      <c r="B3153" s="73"/>
    </row>
    <row r="3154" spans="1:2" x14ac:dyDescent="0.25">
      <c r="A3154" s="73"/>
      <c r="B3154" s="73"/>
    </row>
    <row r="3155" spans="1:2" x14ac:dyDescent="0.25">
      <c r="A3155" s="73"/>
      <c r="B3155" s="73"/>
    </row>
    <row r="3156" spans="1:2" x14ac:dyDescent="0.25">
      <c r="A3156" s="73"/>
      <c r="B3156" s="73"/>
    </row>
    <row r="3157" spans="1:2" x14ac:dyDescent="0.25">
      <c r="A3157" s="73"/>
      <c r="B3157" s="73"/>
    </row>
    <row r="3158" spans="1:2" x14ac:dyDescent="0.25">
      <c r="A3158" s="73"/>
      <c r="B3158" s="73"/>
    </row>
    <row r="3159" spans="1:2" x14ac:dyDescent="0.25">
      <c r="A3159" s="73"/>
      <c r="B3159" s="73"/>
    </row>
    <row r="3160" spans="1:2" x14ac:dyDescent="0.25">
      <c r="A3160" s="73"/>
      <c r="B3160" s="73"/>
    </row>
    <row r="3161" spans="1:2" x14ac:dyDescent="0.25">
      <c r="A3161" s="73"/>
      <c r="B3161" s="73"/>
    </row>
    <row r="3162" spans="1:2" x14ac:dyDescent="0.25">
      <c r="A3162" s="73"/>
      <c r="B3162" s="73"/>
    </row>
    <row r="3163" spans="1:2" x14ac:dyDescent="0.25">
      <c r="A3163" s="73"/>
      <c r="B3163" s="73"/>
    </row>
    <row r="3164" spans="1:2" x14ac:dyDescent="0.25">
      <c r="A3164" s="73"/>
      <c r="B3164" s="73"/>
    </row>
    <row r="3165" spans="1:2" x14ac:dyDescent="0.25">
      <c r="A3165" s="73"/>
      <c r="B3165" s="73"/>
    </row>
    <row r="3166" spans="1:2" x14ac:dyDescent="0.25">
      <c r="A3166" s="73"/>
      <c r="B3166" s="73"/>
    </row>
    <row r="3167" spans="1:2" x14ac:dyDescent="0.25">
      <c r="A3167" s="73"/>
      <c r="B3167" s="73"/>
    </row>
    <row r="3168" spans="1:2" x14ac:dyDescent="0.25">
      <c r="A3168" s="73"/>
      <c r="B3168" s="73"/>
    </row>
    <row r="3169" spans="1:2" x14ac:dyDescent="0.25">
      <c r="A3169" s="73"/>
      <c r="B3169" s="73"/>
    </row>
    <row r="3170" spans="1:2" x14ac:dyDescent="0.25">
      <c r="A3170" s="73"/>
      <c r="B3170" s="73"/>
    </row>
    <row r="3171" spans="1:2" x14ac:dyDescent="0.25">
      <c r="A3171" s="73"/>
      <c r="B3171" s="73"/>
    </row>
    <row r="3172" spans="1:2" x14ac:dyDescent="0.25">
      <c r="A3172" s="73"/>
      <c r="B3172" s="73"/>
    </row>
    <row r="3173" spans="1:2" x14ac:dyDescent="0.25">
      <c r="A3173" s="73"/>
      <c r="B3173" s="73"/>
    </row>
    <row r="3174" spans="1:2" x14ac:dyDescent="0.25">
      <c r="A3174" s="73"/>
      <c r="B3174" s="73"/>
    </row>
    <row r="3175" spans="1:2" x14ac:dyDescent="0.25">
      <c r="A3175" s="73"/>
      <c r="B3175" s="73"/>
    </row>
    <row r="3176" spans="1:2" x14ac:dyDescent="0.25">
      <c r="A3176" s="73"/>
      <c r="B3176" s="73"/>
    </row>
    <row r="3177" spans="1:2" x14ac:dyDescent="0.25">
      <c r="A3177" s="73"/>
      <c r="B3177" s="73"/>
    </row>
    <row r="3178" spans="1:2" x14ac:dyDescent="0.25">
      <c r="A3178" s="73"/>
      <c r="B3178" s="73"/>
    </row>
    <row r="3179" spans="1:2" x14ac:dyDescent="0.25">
      <c r="A3179" s="73"/>
      <c r="B3179" s="73"/>
    </row>
    <row r="3180" spans="1:2" x14ac:dyDescent="0.25">
      <c r="A3180" s="73"/>
      <c r="B3180" s="73"/>
    </row>
    <row r="3181" spans="1:2" x14ac:dyDescent="0.25">
      <c r="A3181" s="73"/>
      <c r="B3181" s="73"/>
    </row>
    <row r="3182" spans="1:2" x14ac:dyDescent="0.25">
      <c r="A3182" s="73"/>
      <c r="B3182" s="73"/>
    </row>
    <row r="3183" spans="1:2" x14ac:dyDescent="0.25">
      <c r="A3183" s="73"/>
      <c r="B3183" s="73"/>
    </row>
    <row r="3184" spans="1:2" x14ac:dyDescent="0.25">
      <c r="A3184" s="73"/>
      <c r="B3184" s="73"/>
    </row>
    <row r="3185" spans="1:2" x14ac:dyDescent="0.25">
      <c r="A3185" s="73"/>
      <c r="B3185" s="73"/>
    </row>
    <row r="3186" spans="1:2" x14ac:dyDescent="0.25">
      <c r="A3186" s="73"/>
      <c r="B3186" s="73"/>
    </row>
    <row r="3187" spans="1:2" x14ac:dyDescent="0.25">
      <c r="A3187" s="73"/>
      <c r="B3187" s="73"/>
    </row>
    <row r="3188" spans="1:2" x14ac:dyDescent="0.25">
      <c r="A3188" s="73"/>
      <c r="B3188" s="73"/>
    </row>
    <row r="3189" spans="1:2" x14ac:dyDescent="0.25">
      <c r="A3189" s="73"/>
      <c r="B3189" s="73"/>
    </row>
    <row r="3190" spans="1:2" x14ac:dyDescent="0.25">
      <c r="A3190" s="73"/>
      <c r="B3190" s="73"/>
    </row>
    <row r="3191" spans="1:2" x14ac:dyDescent="0.25">
      <c r="A3191" s="73"/>
      <c r="B3191" s="73"/>
    </row>
    <row r="3192" spans="1:2" x14ac:dyDescent="0.25">
      <c r="A3192" s="73"/>
      <c r="B3192" s="73"/>
    </row>
    <row r="3193" spans="1:2" x14ac:dyDescent="0.25">
      <c r="A3193" s="73"/>
      <c r="B3193" s="73"/>
    </row>
    <row r="3194" spans="1:2" x14ac:dyDescent="0.25">
      <c r="A3194" s="73"/>
      <c r="B3194" s="73"/>
    </row>
    <row r="3195" spans="1:2" x14ac:dyDescent="0.25">
      <c r="A3195" s="73"/>
      <c r="B3195" s="73"/>
    </row>
    <row r="3196" spans="1:2" x14ac:dyDescent="0.25">
      <c r="A3196" s="73"/>
      <c r="B3196" s="73"/>
    </row>
    <row r="3197" spans="1:2" x14ac:dyDescent="0.25">
      <c r="A3197" s="73"/>
      <c r="B3197" s="73"/>
    </row>
    <row r="3198" spans="1:2" x14ac:dyDescent="0.25">
      <c r="A3198" s="73"/>
      <c r="B3198" s="73"/>
    </row>
    <row r="3199" spans="1:2" x14ac:dyDescent="0.25">
      <c r="A3199" s="73"/>
      <c r="B3199" s="73"/>
    </row>
    <row r="3200" spans="1:2" x14ac:dyDescent="0.25">
      <c r="A3200" s="73"/>
      <c r="B3200" s="73"/>
    </row>
    <row r="3201" spans="1:2" x14ac:dyDescent="0.25">
      <c r="A3201" s="73"/>
      <c r="B3201" s="73"/>
    </row>
    <row r="3202" spans="1:2" x14ac:dyDescent="0.25">
      <c r="A3202" s="73"/>
      <c r="B3202" s="73"/>
    </row>
    <row r="3203" spans="1:2" x14ac:dyDescent="0.25">
      <c r="A3203" s="73"/>
      <c r="B3203" s="73"/>
    </row>
    <row r="3204" spans="1:2" x14ac:dyDescent="0.25">
      <c r="A3204" s="73"/>
      <c r="B3204" s="73"/>
    </row>
    <row r="3205" spans="1:2" x14ac:dyDescent="0.25">
      <c r="A3205" s="73"/>
      <c r="B3205" s="73"/>
    </row>
    <row r="3206" spans="1:2" x14ac:dyDescent="0.25">
      <c r="A3206" s="73"/>
      <c r="B3206" s="73"/>
    </row>
    <row r="3207" spans="1:2" x14ac:dyDescent="0.25">
      <c r="A3207" s="73"/>
      <c r="B3207" s="73"/>
    </row>
    <row r="3208" spans="1:2" x14ac:dyDescent="0.25">
      <c r="A3208" s="73"/>
      <c r="B3208" s="73"/>
    </row>
    <row r="3209" spans="1:2" x14ac:dyDescent="0.25">
      <c r="A3209" s="73"/>
      <c r="B3209" s="73"/>
    </row>
    <row r="3210" spans="1:2" x14ac:dyDescent="0.25">
      <c r="A3210" s="73"/>
      <c r="B3210" s="73"/>
    </row>
    <row r="3211" spans="1:2" x14ac:dyDescent="0.25">
      <c r="A3211" s="73"/>
      <c r="B3211" s="73"/>
    </row>
    <row r="3212" spans="1:2" x14ac:dyDescent="0.25">
      <c r="A3212" s="73"/>
      <c r="B3212" s="73"/>
    </row>
    <row r="3213" spans="1:2" x14ac:dyDescent="0.25">
      <c r="A3213" s="73"/>
      <c r="B3213" s="73"/>
    </row>
    <row r="3214" spans="1:2" x14ac:dyDescent="0.25">
      <c r="A3214" s="73"/>
      <c r="B3214" s="73"/>
    </row>
    <row r="3215" spans="1:2" x14ac:dyDescent="0.25">
      <c r="A3215" s="73"/>
      <c r="B3215" s="73"/>
    </row>
    <row r="3216" spans="1:2" x14ac:dyDescent="0.25">
      <c r="A3216" s="73"/>
      <c r="B3216" s="73"/>
    </row>
    <row r="3217" spans="1:2" x14ac:dyDescent="0.25">
      <c r="A3217" s="73"/>
      <c r="B3217" s="73"/>
    </row>
    <row r="3218" spans="1:2" x14ac:dyDescent="0.25">
      <c r="A3218" s="73"/>
      <c r="B3218" s="73"/>
    </row>
    <row r="3219" spans="1:2" x14ac:dyDescent="0.25">
      <c r="A3219" s="73"/>
      <c r="B3219" s="73"/>
    </row>
    <row r="3220" spans="1:2" x14ac:dyDescent="0.25">
      <c r="A3220" s="73"/>
      <c r="B3220" s="73"/>
    </row>
    <row r="3221" spans="1:2" x14ac:dyDescent="0.25">
      <c r="A3221" s="73"/>
      <c r="B3221" s="73"/>
    </row>
    <row r="3222" spans="1:2" x14ac:dyDescent="0.25">
      <c r="A3222" s="73"/>
      <c r="B3222" s="73"/>
    </row>
    <row r="3223" spans="1:2" x14ac:dyDescent="0.25">
      <c r="A3223" s="73"/>
      <c r="B3223" s="73"/>
    </row>
    <row r="3224" spans="1:2" x14ac:dyDescent="0.25">
      <c r="A3224" s="73"/>
      <c r="B3224" s="73"/>
    </row>
    <row r="3225" spans="1:2" x14ac:dyDescent="0.25">
      <c r="A3225" s="73"/>
      <c r="B3225" s="73"/>
    </row>
    <row r="3226" spans="1:2" x14ac:dyDescent="0.25">
      <c r="A3226" s="73"/>
      <c r="B3226" s="73"/>
    </row>
    <row r="3227" spans="1:2" x14ac:dyDescent="0.25">
      <c r="A3227" s="73"/>
      <c r="B3227" s="73"/>
    </row>
    <row r="3228" spans="1:2" x14ac:dyDescent="0.25">
      <c r="A3228" s="73"/>
      <c r="B3228" s="73"/>
    </row>
    <row r="3229" spans="1:2" x14ac:dyDescent="0.25">
      <c r="A3229" s="73"/>
      <c r="B3229" s="73"/>
    </row>
    <row r="3230" spans="1:2" x14ac:dyDescent="0.25">
      <c r="A3230" s="73"/>
      <c r="B3230" s="73"/>
    </row>
    <row r="3231" spans="1:2" x14ac:dyDescent="0.25">
      <c r="A3231" s="73"/>
      <c r="B3231" s="73"/>
    </row>
    <row r="3232" spans="1:2" x14ac:dyDescent="0.25">
      <c r="A3232" s="73"/>
      <c r="B3232" s="73"/>
    </row>
    <row r="3233" spans="1:2" x14ac:dyDescent="0.25">
      <c r="A3233" s="73"/>
      <c r="B3233" s="73"/>
    </row>
    <row r="3234" spans="1:2" x14ac:dyDescent="0.25">
      <c r="A3234" s="73"/>
      <c r="B3234" s="73"/>
    </row>
    <row r="3235" spans="1:2" x14ac:dyDescent="0.25">
      <c r="A3235" s="73"/>
      <c r="B3235" s="73"/>
    </row>
    <row r="3236" spans="1:2" x14ac:dyDescent="0.25">
      <c r="A3236" s="73"/>
      <c r="B3236" s="73"/>
    </row>
    <row r="3237" spans="1:2" x14ac:dyDescent="0.25">
      <c r="A3237" s="73"/>
      <c r="B3237" s="73"/>
    </row>
    <row r="3238" spans="1:2" x14ac:dyDescent="0.25">
      <c r="A3238" s="73"/>
      <c r="B3238" s="73"/>
    </row>
    <row r="3239" spans="1:2" x14ac:dyDescent="0.25">
      <c r="A3239" s="73"/>
      <c r="B3239" s="73"/>
    </row>
    <row r="3240" spans="1:2" x14ac:dyDescent="0.25">
      <c r="A3240" s="73"/>
      <c r="B3240" s="73"/>
    </row>
    <row r="3241" spans="1:2" x14ac:dyDescent="0.25">
      <c r="A3241" s="73"/>
      <c r="B3241" s="73"/>
    </row>
    <row r="3242" spans="1:2" x14ac:dyDescent="0.25">
      <c r="A3242" s="73"/>
      <c r="B3242" s="73"/>
    </row>
    <row r="3243" spans="1:2" x14ac:dyDescent="0.25">
      <c r="A3243" s="73"/>
      <c r="B3243" s="73"/>
    </row>
    <row r="3244" spans="1:2" x14ac:dyDescent="0.25">
      <c r="A3244" s="73"/>
      <c r="B3244" s="73"/>
    </row>
    <row r="3245" spans="1:2" x14ac:dyDescent="0.25">
      <c r="A3245" s="73"/>
      <c r="B3245" s="73"/>
    </row>
    <row r="3246" spans="1:2" x14ac:dyDescent="0.25">
      <c r="A3246" s="73"/>
      <c r="B3246" s="73"/>
    </row>
    <row r="3247" spans="1:2" x14ac:dyDescent="0.25">
      <c r="A3247" s="73"/>
      <c r="B3247" s="73"/>
    </row>
    <row r="3248" spans="1:2" x14ac:dyDescent="0.25">
      <c r="A3248" s="73"/>
      <c r="B3248" s="73"/>
    </row>
    <row r="3249" spans="1:2" x14ac:dyDescent="0.25">
      <c r="A3249" s="73"/>
      <c r="B3249" s="73"/>
    </row>
    <row r="3250" spans="1:2" x14ac:dyDescent="0.25">
      <c r="A3250" s="73"/>
      <c r="B3250" s="73"/>
    </row>
    <row r="3251" spans="1:2" x14ac:dyDescent="0.25">
      <c r="A3251" s="73"/>
      <c r="B3251" s="73"/>
    </row>
    <row r="3252" spans="1:2" x14ac:dyDescent="0.25">
      <c r="A3252" s="73"/>
      <c r="B3252" s="73"/>
    </row>
    <row r="3253" spans="1:2" x14ac:dyDescent="0.25">
      <c r="A3253" s="73"/>
      <c r="B3253" s="73"/>
    </row>
    <row r="3254" spans="1:2" x14ac:dyDescent="0.25">
      <c r="A3254" s="73"/>
      <c r="B3254" s="73"/>
    </row>
    <row r="3255" spans="1:2" x14ac:dyDescent="0.25">
      <c r="A3255" s="73"/>
      <c r="B3255" s="73"/>
    </row>
    <row r="3256" spans="1:2" x14ac:dyDescent="0.25">
      <c r="A3256" s="73"/>
      <c r="B3256" s="73"/>
    </row>
    <row r="3257" spans="1:2" x14ac:dyDescent="0.25">
      <c r="A3257" s="73"/>
      <c r="B3257" s="73"/>
    </row>
    <row r="3258" spans="1:2" x14ac:dyDescent="0.25">
      <c r="A3258" s="73"/>
      <c r="B3258" s="73"/>
    </row>
    <row r="3259" spans="1:2" x14ac:dyDescent="0.25">
      <c r="A3259" s="73"/>
      <c r="B3259" s="73"/>
    </row>
    <row r="3260" spans="1:2" x14ac:dyDescent="0.25">
      <c r="A3260" s="73"/>
      <c r="B3260" s="73"/>
    </row>
    <row r="3261" spans="1:2" x14ac:dyDescent="0.25">
      <c r="A3261" s="73"/>
      <c r="B3261" s="73"/>
    </row>
    <row r="3262" spans="1:2" x14ac:dyDescent="0.25">
      <c r="A3262" s="73"/>
      <c r="B3262" s="73"/>
    </row>
    <row r="3263" spans="1:2" x14ac:dyDescent="0.25">
      <c r="A3263" s="73"/>
      <c r="B3263" s="73"/>
    </row>
    <row r="3264" spans="1:2" x14ac:dyDescent="0.25">
      <c r="A3264" s="73"/>
      <c r="B3264" s="73"/>
    </row>
    <row r="3265" spans="1:2" x14ac:dyDescent="0.25">
      <c r="A3265" s="73"/>
      <c r="B3265" s="73"/>
    </row>
    <row r="3266" spans="1:2" x14ac:dyDescent="0.25">
      <c r="A3266" s="73"/>
      <c r="B3266" s="73"/>
    </row>
    <row r="3267" spans="1:2" x14ac:dyDescent="0.25">
      <c r="A3267" s="73"/>
      <c r="B3267" s="73"/>
    </row>
    <row r="3268" spans="1:2" x14ac:dyDescent="0.25">
      <c r="A3268" s="73"/>
      <c r="B3268" s="73"/>
    </row>
    <row r="3269" spans="1:2" x14ac:dyDescent="0.25">
      <c r="A3269" s="73"/>
      <c r="B3269" s="73"/>
    </row>
    <row r="3270" spans="1:2" x14ac:dyDescent="0.25">
      <c r="A3270" s="73"/>
      <c r="B3270" s="73"/>
    </row>
    <row r="3271" spans="1:2" x14ac:dyDescent="0.25">
      <c r="A3271" s="73"/>
      <c r="B3271" s="73"/>
    </row>
    <row r="3272" spans="1:2" x14ac:dyDescent="0.25">
      <c r="A3272" s="73"/>
      <c r="B3272" s="73"/>
    </row>
    <row r="3273" spans="1:2" x14ac:dyDescent="0.25">
      <c r="A3273" s="73"/>
      <c r="B3273" s="73"/>
    </row>
    <row r="3274" spans="1:2" x14ac:dyDescent="0.25">
      <c r="A3274" s="73"/>
      <c r="B3274" s="73"/>
    </row>
    <row r="3275" spans="1:2" x14ac:dyDescent="0.25">
      <c r="A3275" s="73"/>
      <c r="B3275" s="73"/>
    </row>
    <row r="3276" spans="1:2" x14ac:dyDescent="0.25">
      <c r="A3276" s="73"/>
      <c r="B3276" s="73"/>
    </row>
    <row r="3277" spans="1:2" x14ac:dyDescent="0.25">
      <c r="A3277" s="73"/>
      <c r="B3277" s="73"/>
    </row>
    <row r="3278" spans="1:2" x14ac:dyDescent="0.25">
      <c r="A3278" s="73"/>
      <c r="B3278" s="73"/>
    </row>
    <row r="3279" spans="1:2" x14ac:dyDescent="0.25">
      <c r="A3279" s="73"/>
      <c r="B3279" s="73"/>
    </row>
    <row r="3280" spans="1:2" x14ac:dyDescent="0.25">
      <c r="A3280" s="73"/>
      <c r="B3280" s="73"/>
    </row>
    <row r="3281" spans="1:2" x14ac:dyDescent="0.25">
      <c r="A3281" s="73"/>
      <c r="B3281" s="73"/>
    </row>
    <row r="3282" spans="1:2" x14ac:dyDescent="0.25">
      <c r="A3282" s="73"/>
      <c r="B3282" s="73"/>
    </row>
    <row r="3283" spans="1:2" x14ac:dyDescent="0.25">
      <c r="A3283" s="73"/>
      <c r="B3283" s="73"/>
    </row>
    <row r="3284" spans="1:2" x14ac:dyDescent="0.25">
      <c r="A3284" s="73"/>
      <c r="B3284" s="73"/>
    </row>
    <row r="3285" spans="1:2" x14ac:dyDescent="0.25">
      <c r="A3285" s="73"/>
      <c r="B3285" s="73"/>
    </row>
    <row r="3286" spans="1:2" x14ac:dyDescent="0.25">
      <c r="A3286" s="73"/>
      <c r="B3286" s="73"/>
    </row>
    <row r="3287" spans="1:2" x14ac:dyDescent="0.25">
      <c r="A3287" s="73"/>
      <c r="B3287" s="73"/>
    </row>
    <row r="3288" spans="1:2" x14ac:dyDescent="0.25">
      <c r="A3288" s="73"/>
      <c r="B3288" s="73"/>
    </row>
    <row r="3289" spans="1:2" x14ac:dyDescent="0.25">
      <c r="A3289" s="73"/>
      <c r="B3289" s="73"/>
    </row>
    <row r="3290" spans="1:2" x14ac:dyDescent="0.25">
      <c r="A3290" s="73"/>
      <c r="B3290" s="73"/>
    </row>
    <row r="3291" spans="1:2" x14ac:dyDescent="0.25">
      <c r="A3291" s="73"/>
      <c r="B3291" s="73"/>
    </row>
    <row r="3292" spans="1:2" x14ac:dyDescent="0.25">
      <c r="A3292" s="73"/>
      <c r="B3292" s="73"/>
    </row>
    <row r="3293" spans="1:2" x14ac:dyDescent="0.25">
      <c r="A3293" s="73"/>
      <c r="B3293" s="73"/>
    </row>
    <row r="3294" spans="1:2" x14ac:dyDescent="0.25">
      <c r="A3294" s="73"/>
      <c r="B3294" s="73"/>
    </row>
    <row r="3295" spans="1:2" x14ac:dyDescent="0.25">
      <c r="A3295" s="73"/>
      <c r="B3295" s="73"/>
    </row>
    <row r="3296" spans="1:2" x14ac:dyDescent="0.25">
      <c r="A3296" s="73"/>
      <c r="B3296" s="73"/>
    </row>
    <row r="3297" spans="1:2" x14ac:dyDescent="0.25">
      <c r="A3297" s="73"/>
      <c r="B3297" s="73"/>
    </row>
    <row r="3298" spans="1:2" x14ac:dyDescent="0.25">
      <c r="A3298" s="73"/>
      <c r="B3298" s="73"/>
    </row>
    <row r="3299" spans="1:2" x14ac:dyDescent="0.25">
      <c r="A3299" s="73"/>
      <c r="B3299" s="73"/>
    </row>
    <row r="3300" spans="1:2" x14ac:dyDescent="0.25">
      <c r="A3300" s="73"/>
      <c r="B3300" s="73"/>
    </row>
    <row r="3301" spans="1:2" x14ac:dyDescent="0.25">
      <c r="A3301" s="73"/>
      <c r="B3301" s="73"/>
    </row>
    <row r="3302" spans="1:2" x14ac:dyDescent="0.25">
      <c r="A3302" s="73"/>
      <c r="B3302" s="73"/>
    </row>
    <row r="3303" spans="1:2" x14ac:dyDescent="0.25">
      <c r="A3303" s="73"/>
      <c r="B3303" s="73"/>
    </row>
    <row r="3304" spans="1:2" x14ac:dyDescent="0.25">
      <c r="A3304" s="73"/>
      <c r="B3304" s="73"/>
    </row>
    <row r="3305" spans="1:2" x14ac:dyDescent="0.25">
      <c r="A3305" s="73"/>
      <c r="B3305" s="73"/>
    </row>
    <row r="3306" spans="1:2" x14ac:dyDescent="0.25">
      <c r="A3306" s="73"/>
      <c r="B3306" s="73"/>
    </row>
    <row r="3307" spans="1:2" x14ac:dyDescent="0.25">
      <c r="A3307" s="73"/>
      <c r="B3307" s="73"/>
    </row>
    <row r="3308" spans="1:2" x14ac:dyDescent="0.25">
      <c r="A3308" s="73"/>
      <c r="B3308" s="73"/>
    </row>
    <row r="3309" spans="1:2" x14ac:dyDescent="0.25">
      <c r="A3309" s="73"/>
      <c r="B3309" s="73"/>
    </row>
    <row r="3310" spans="1:2" x14ac:dyDescent="0.25">
      <c r="A3310" s="73"/>
      <c r="B3310" s="73"/>
    </row>
    <row r="3311" spans="1:2" x14ac:dyDescent="0.25">
      <c r="A3311" s="73"/>
      <c r="B3311" s="73"/>
    </row>
    <row r="3312" spans="1:2" x14ac:dyDescent="0.25">
      <c r="A3312" s="73"/>
      <c r="B3312" s="73"/>
    </row>
    <row r="3313" spans="1:2" x14ac:dyDescent="0.25">
      <c r="A3313" s="73"/>
      <c r="B3313" s="73"/>
    </row>
    <row r="3314" spans="1:2" x14ac:dyDescent="0.25">
      <c r="A3314" s="73"/>
      <c r="B3314" s="73"/>
    </row>
    <row r="3315" spans="1:2" x14ac:dyDescent="0.25">
      <c r="A3315" s="73"/>
      <c r="B3315" s="73"/>
    </row>
    <row r="3316" spans="1:2" x14ac:dyDescent="0.25">
      <c r="A3316" s="73"/>
      <c r="B3316" s="73"/>
    </row>
    <row r="3317" spans="1:2" x14ac:dyDescent="0.25">
      <c r="A3317" s="73"/>
      <c r="B3317" s="73"/>
    </row>
    <row r="3318" spans="1:2" x14ac:dyDescent="0.25">
      <c r="A3318" s="73"/>
      <c r="B3318" s="73"/>
    </row>
    <row r="3319" spans="1:2" x14ac:dyDescent="0.25">
      <c r="A3319" s="73"/>
      <c r="B3319" s="73"/>
    </row>
    <row r="3320" spans="1:2" x14ac:dyDescent="0.25">
      <c r="A3320" s="73"/>
      <c r="B3320" s="73"/>
    </row>
    <row r="3321" spans="1:2" x14ac:dyDescent="0.25">
      <c r="A3321" s="73"/>
      <c r="B3321" s="73"/>
    </row>
    <row r="3322" spans="1:2" x14ac:dyDescent="0.25">
      <c r="A3322" s="73"/>
      <c r="B3322" s="73"/>
    </row>
    <row r="3323" spans="1:2" x14ac:dyDescent="0.25">
      <c r="A3323" s="73"/>
      <c r="B3323" s="73"/>
    </row>
    <row r="3324" spans="1:2" x14ac:dyDescent="0.25">
      <c r="A3324" s="73"/>
      <c r="B3324" s="73"/>
    </row>
    <row r="3325" spans="1:2" x14ac:dyDescent="0.25">
      <c r="A3325" s="73"/>
      <c r="B3325" s="73"/>
    </row>
    <row r="3326" spans="1:2" x14ac:dyDescent="0.25">
      <c r="A3326" s="73"/>
      <c r="B3326" s="73"/>
    </row>
    <row r="3327" spans="1:2" x14ac:dyDescent="0.25">
      <c r="A3327" s="73"/>
      <c r="B3327" s="73"/>
    </row>
    <row r="3328" spans="1:2" x14ac:dyDescent="0.25">
      <c r="A3328" s="73"/>
      <c r="B3328" s="73"/>
    </row>
    <row r="3329" spans="1:2" x14ac:dyDescent="0.25">
      <c r="A3329" s="73"/>
      <c r="B3329" s="73"/>
    </row>
    <row r="3330" spans="1:2" x14ac:dyDescent="0.25">
      <c r="A3330" s="73"/>
      <c r="B3330" s="73"/>
    </row>
    <row r="3331" spans="1:2" x14ac:dyDescent="0.25">
      <c r="A3331" s="73"/>
      <c r="B3331" s="73"/>
    </row>
    <row r="3332" spans="1:2" x14ac:dyDescent="0.25">
      <c r="A3332" s="73"/>
      <c r="B3332" s="73"/>
    </row>
    <row r="3333" spans="1:2" x14ac:dyDescent="0.25">
      <c r="A3333" s="73"/>
      <c r="B3333" s="73"/>
    </row>
    <row r="3334" spans="1:2" x14ac:dyDescent="0.25">
      <c r="A3334" s="73"/>
      <c r="B3334" s="73"/>
    </row>
    <row r="3335" spans="1:2" x14ac:dyDescent="0.25">
      <c r="A3335" s="73"/>
      <c r="B3335" s="73"/>
    </row>
    <row r="3336" spans="1:2" x14ac:dyDescent="0.25">
      <c r="A3336" s="73"/>
      <c r="B3336" s="73"/>
    </row>
    <row r="3337" spans="1:2" x14ac:dyDescent="0.25">
      <c r="A3337" s="73"/>
      <c r="B3337" s="73"/>
    </row>
    <row r="3338" spans="1:2" x14ac:dyDescent="0.25">
      <c r="A3338" s="73"/>
      <c r="B3338" s="73"/>
    </row>
    <row r="3339" spans="1:2" x14ac:dyDescent="0.25">
      <c r="A3339" s="73"/>
      <c r="B3339" s="73"/>
    </row>
    <row r="3340" spans="1:2" x14ac:dyDescent="0.25">
      <c r="A3340" s="73"/>
      <c r="B3340" s="73"/>
    </row>
    <row r="3341" spans="1:2" x14ac:dyDescent="0.25">
      <c r="A3341" s="73"/>
      <c r="B3341" s="73"/>
    </row>
    <row r="3342" spans="1:2" x14ac:dyDescent="0.25">
      <c r="A3342" s="73"/>
      <c r="B3342" s="73"/>
    </row>
    <row r="3343" spans="1:2" x14ac:dyDescent="0.25">
      <c r="A3343" s="73"/>
      <c r="B3343" s="73"/>
    </row>
    <row r="3344" spans="1:2" x14ac:dyDescent="0.25">
      <c r="A3344" s="73"/>
      <c r="B3344" s="73"/>
    </row>
    <row r="3345" spans="1:2" x14ac:dyDescent="0.25">
      <c r="A3345" s="73"/>
      <c r="B3345" s="73"/>
    </row>
    <row r="3346" spans="1:2" x14ac:dyDescent="0.25">
      <c r="A3346" s="73"/>
      <c r="B3346" s="73"/>
    </row>
    <row r="3347" spans="1:2" x14ac:dyDescent="0.25">
      <c r="A3347" s="73"/>
      <c r="B3347" s="73"/>
    </row>
    <row r="3348" spans="1:2" x14ac:dyDescent="0.25">
      <c r="A3348" s="73"/>
      <c r="B3348" s="73"/>
    </row>
    <row r="3349" spans="1:2" x14ac:dyDescent="0.25">
      <c r="A3349" s="73"/>
      <c r="B3349" s="73"/>
    </row>
    <row r="3350" spans="1:2" x14ac:dyDescent="0.25">
      <c r="A3350" s="73"/>
      <c r="B3350" s="73"/>
    </row>
    <row r="3351" spans="1:2" x14ac:dyDescent="0.25">
      <c r="A3351" s="73"/>
      <c r="B3351" s="73"/>
    </row>
    <row r="3352" spans="1:2" x14ac:dyDescent="0.25">
      <c r="A3352" s="73"/>
      <c r="B3352" s="73"/>
    </row>
    <row r="3353" spans="1:2" x14ac:dyDescent="0.25">
      <c r="A3353" s="73"/>
      <c r="B3353" s="73"/>
    </row>
    <row r="3354" spans="1:2" x14ac:dyDescent="0.25">
      <c r="A3354" s="73"/>
      <c r="B3354" s="73"/>
    </row>
    <row r="3355" spans="1:2" x14ac:dyDescent="0.25">
      <c r="A3355" s="73"/>
      <c r="B3355" s="73"/>
    </row>
    <row r="3356" spans="1:2" x14ac:dyDescent="0.25">
      <c r="A3356" s="73"/>
      <c r="B3356" s="73"/>
    </row>
    <row r="3357" spans="1:2" x14ac:dyDescent="0.25">
      <c r="A3357" s="73"/>
      <c r="B3357" s="73"/>
    </row>
    <row r="3358" spans="1:2" x14ac:dyDescent="0.25">
      <c r="A3358" s="73"/>
      <c r="B3358" s="73"/>
    </row>
    <row r="3359" spans="1:2" x14ac:dyDescent="0.25">
      <c r="A3359" s="73"/>
      <c r="B3359" s="73"/>
    </row>
    <row r="3360" spans="1:2" x14ac:dyDescent="0.25">
      <c r="A3360" s="73"/>
      <c r="B3360" s="73"/>
    </row>
    <row r="3361" spans="1:2" x14ac:dyDescent="0.25">
      <c r="A3361" s="73"/>
      <c r="B3361" s="73"/>
    </row>
    <row r="3362" spans="1:2" x14ac:dyDescent="0.25">
      <c r="A3362" s="73"/>
      <c r="B3362" s="73"/>
    </row>
    <row r="3363" spans="1:2" x14ac:dyDescent="0.25">
      <c r="A3363" s="73"/>
      <c r="B3363" s="73"/>
    </row>
    <row r="3364" spans="1:2" x14ac:dyDescent="0.25">
      <c r="A3364" s="73"/>
      <c r="B3364" s="73"/>
    </row>
    <row r="3365" spans="1:2" x14ac:dyDescent="0.25">
      <c r="A3365" s="73"/>
      <c r="B3365" s="73"/>
    </row>
    <row r="3366" spans="1:2" x14ac:dyDescent="0.25">
      <c r="A3366" s="73"/>
      <c r="B3366" s="73"/>
    </row>
    <row r="3367" spans="1:2" x14ac:dyDescent="0.25">
      <c r="A3367" s="73"/>
      <c r="B3367" s="73"/>
    </row>
    <row r="3368" spans="1:2" x14ac:dyDescent="0.25">
      <c r="A3368" s="73"/>
      <c r="B3368" s="73"/>
    </row>
    <row r="3369" spans="1:2" x14ac:dyDescent="0.25">
      <c r="A3369" s="73"/>
      <c r="B3369" s="73"/>
    </row>
    <row r="3370" spans="1:2" x14ac:dyDescent="0.25">
      <c r="A3370" s="73"/>
      <c r="B3370" s="73"/>
    </row>
    <row r="3371" spans="1:2" x14ac:dyDescent="0.25">
      <c r="A3371" s="73"/>
      <c r="B3371" s="73"/>
    </row>
    <row r="3372" spans="1:2" x14ac:dyDescent="0.25">
      <c r="A3372" s="73"/>
      <c r="B3372" s="73"/>
    </row>
    <row r="3373" spans="1:2" x14ac:dyDescent="0.25">
      <c r="A3373" s="73"/>
      <c r="B3373" s="73"/>
    </row>
    <row r="3374" spans="1:2" x14ac:dyDescent="0.25">
      <c r="A3374" s="73"/>
      <c r="B3374" s="73"/>
    </row>
    <row r="3375" spans="1:2" x14ac:dyDescent="0.25">
      <c r="A3375" s="73"/>
      <c r="B3375" s="73"/>
    </row>
    <row r="3376" spans="1:2" x14ac:dyDescent="0.25">
      <c r="A3376" s="73"/>
      <c r="B3376" s="73"/>
    </row>
    <row r="3377" spans="1:2" x14ac:dyDescent="0.25">
      <c r="A3377" s="73"/>
      <c r="B3377" s="73"/>
    </row>
    <row r="3378" spans="1:2" x14ac:dyDescent="0.25">
      <c r="A3378" s="73"/>
      <c r="B3378" s="73"/>
    </row>
    <row r="3379" spans="1:2" x14ac:dyDescent="0.25">
      <c r="A3379" s="73"/>
      <c r="B3379" s="73"/>
    </row>
    <row r="3380" spans="1:2" x14ac:dyDescent="0.25">
      <c r="A3380" s="73"/>
      <c r="B3380" s="73"/>
    </row>
    <row r="3381" spans="1:2" x14ac:dyDescent="0.25">
      <c r="A3381" s="73"/>
      <c r="B3381" s="73"/>
    </row>
    <row r="3382" spans="1:2" x14ac:dyDescent="0.25">
      <c r="A3382" s="73"/>
      <c r="B3382" s="73"/>
    </row>
    <row r="3383" spans="1:2" x14ac:dyDescent="0.25">
      <c r="A3383" s="73"/>
      <c r="B3383" s="73"/>
    </row>
    <row r="3384" spans="1:2" x14ac:dyDescent="0.25">
      <c r="A3384" s="73"/>
      <c r="B3384" s="73"/>
    </row>
    <row r="3385" spans="1:2" x14ac:dyDescent="0.25">
      <c r="A3385" s="73"/>
      <c r="B3385" s="73"/>
    </row>
    <row r="3386" spans="1:2" x14ac:dyDescent="0.25">
      <c r="A3386" s="73"/>
      <c r="B3386" s="73"/>
    </row>
    <row r="3387" spans="1:2" x14ac:dyDescent="0.25">
      <c r="A3387" s="73"/>
      <c r="B3387" s="73"/>
    </row>
    <row r="3388" spans="1:2" x14ac:dyDescent="0.25">
      <c r="A3388" s="73"/>
      <c r="B3388" s="73"/>
    </row>
    <row r="3389" spans="1:2" x14ac:dyDescent="0.25">
      <c r="A3389" s="73"/>
      <c r="B3389" s="73"/>
    </row>
    <row r="3390" spans="1:2" x14ac:dyDescent="0.25">
      <c r="A3390" s="73"/>
      <c r="B3390" s="73"/>
    </row>
    <row r="3391" spans="1:2" x14ac:dyDescent="0.25">
      <c r="A3391" s="73"/>
      <c r="B3391" s="73"/>
    </row>
    <row r="3392" spans="1:2" x14ac:dyDescent="0.25">
      <c r="A3392" s="73"/>
      <c r="B3392" s="73"/>
    </row>
    <row r="3393" spans="1:2" x14ac:dyDescent="0.25">
      <c r="A3393" s="73"/>
      <c r="B3393" s="73"/>
    </row>
    <row r="3394" spans="1:2" x14ac:dyDescent="0.25">
      <c r="A3394" s="73"/>
      <c r="B3394" s="73"/>
    </row>
    <row r="3395" spans="1:2" x14ac:dyDescent="0.25">
      <c r="A3395" s="73"/>
      <c r="B3395" s="73"/>
    </row>
    <row r="3396" spans="1:2" x14ac:dyDescent="0.25">
      <c r="A3396" s="73"/>
      <c r="B3396" s="73"/>
    </row>
    <row r="3397" spans="1:2" x14ac:dyDescent="0.25">
      <c r="A3397" s="73"/>
      <c r="B3397" s="73"/>
    </row>
    <row r="3398" spans="1:2" x14ac:dyDescent="0.25">
      <c r="A3398" s="73"/>
      <c r="B3398" s="73"/>
    </row>
    <row r="3399" spans="1:2" x14ac:dyDescent="0.25">
      <c r="A3399" s="73"/>
      <c r="B3399" s="73"/>
    </row>
    <row r="3400" spans="1:2" x14ac:dyDescent="0.25">
      <c r="A3400" s="73"/>
      <c r="B3400" s="73"/>
    </row>
    <row r="3401" spans="1:2" x14ac:dyDescent="0.25">
      <c r="A3401" s="73"/>
      <c r="B3401" s="73"/>
    </row>
    <row r="3402" spans="1:2" x14ac:dyDescent="0.25">
      <c r="A3402" s="73"/>
      <c r="B3402" s="73"/>
    </row>
    <row r="3403" spans="1:2" x14ac:dyDescent="0.25">
      <c r="A3403" s="73"/>
      <c r="B3403" s="73"/>
    </row>
    <row r="3404" spans="1:2" x14ac:dyDescent="0.25">
      <c r="A3404" s="73"/>
      <c r="B3404" s="73"/>
    </row>
    <row r="3405" spans="1:2" x14ac:dyDescent="0.25">
      <c r="A3405" s="73"/>
      <c r="B3405" s="73"/>
    </row>
    <row r="3406" spans="1:2" x14ac:dyDescent="0.25">
      <c r="A3406" s="73"/>
      <c r="B3406" s="73"/>
    </row>
    <row r="3407" spans="1:2" x14ac:dyDescent="0.25">
      <c r="A3407" s="73"/>
      <c r="B3407" s="73"/>
    </row>
    <row r="3408" spans="1:2" x14ac:dyDescent="0.25">
      <c r="A3408" s="73"/>
      <c r="B3408" s="73"/>
    </row>
    <row r="3409" spans="1:2" x14ac:dyDescent="0.25">
      <c r="A3409" s="73"/>
      <c r="B3409" s="73"/>
    </row>
    <row r="3410" spans="1:2" x14ac:dyDescent="0.25">
      <c r="A3410" s="73"/>
      <c r="B3410" s="73"/>
    </row>
    <row r="3411" spans="1:2" x14ac:dyDescent="0.25">
      <c r="A3411" s="73"/>
      <c r="B3411" s="73"/>
    </row>
    <row r="3412" spans="1:2" x14ac:dyDescent="0.25">
      <c r="A3412" s="73"/>
      <c r="B3412" s="73"/>
    </row>
    <row r="3413" spans="1:2" x14ac:dyDescent="0.25">
      <c r="A3413" s="73"/>
      <c r="B3413" s="73"/>
    </row>
    <row r="3414" spans="1:2" x14ac:dyDescent="0.25">
      <c r="A3414" s="73"/>
      <c r="B3414" s="73"/>
    </row>
    <row r="3415" spans="1:2" x14ac:dyDescent="0.25">
      <c r="A3415" s="73"/>
      <c r="B3415" s="73"/>
    </row>
    <row r="3416" spans="1:2" x14ac:dyDescent="0.25">
      <c r="A3416" s="73"/>
      <c r="B3416" s="73"/>
    </row>
    <row r="3417" spans="1:2" x14ac:dyDescent="0.25">
      <c r="A3417" s="73"/>
      <c r="B3417" s="73"/>
    </row>
    <row r="3418" spans="1:2" x14ac:dyDescent="0.25">
      <c r="A3418" s="73"/>
      <c r="B3418" s="73"/>
    </row>
    <row r="3419" spans="1:2" x14ac:dyDescent="0.25">
      <c r="A3419" s="73"/>
      <c r="B3419" s="73"/>
    </row>
    <row r="3420" spans="1:2" x14ac:dyDescent="0.25">
      <c r="A3420" s="73"/>
      <c r="B3420" s="73"/>
    </row>
    <row r="3421" spans="1:2" x14ac:dyDescent="0.25">
      <c r="A3421" s="73"/>
      <c r="B3421" s="73"/>
    </row>
    <row r="3422" spans="1:2" x14ac:dyDescent="0.25">
      <c r="A3422" s="73"/>
      <c r="B3422" s="73"/>
    </row>
    <row r="3423" spans="1:2" x14ac:dyDescent="0.25">
      <c r="A3423" s="73"/>
      <c r="B3423" s="73"/>
    </row>
    <row r="3424" spans="1:2" x14ac:dyDescent="0.25">
      <c r="A3424" s="73"/>
      <c r="B3424" s="73"/>
    </row>
    <row r="3425" spans="1:2" x14ac:dyDescent="0.25">
      <c r="A3425" s="73"/>
      <c r="B3425" s="73"/>
    </row>
    <row r="3426" spans="1:2" x14ac:dyDescent="0.25">
      <c r="A3426" s="73"/>
      <c r="B3426" s="73"/>
    </row>
    <row r="3427" spans="1:2" x14ac:dyDescent="0.25">
      <c r="A3427" s="73"/>
      <c r="B3427" s="73"/>
    </row>
    <row r="3428" spans="1:2" x14ac:dyDescent="0.25">
      <c r="A3428" s="73"/>
      <c r="B3428" s="73"/>
    </row>
    <row r="3429" spans="1:2" x14ac:dyDescent="0.25">
      <c r="A3429" s="73"/>
      <c r="B3429" s="73"/>
    </row>
    <row r="3430" spans="1:2" x14ac:dyDescent="0.25">
      <c r="A3430" s="73"/>
      <c r="B3430" s="73"/>
    </row>
    <row r="3431" spans="1:2" x14ac:dyDescent="0.25">
      <c r="A3431" s="73"/>
      <c r="B3431" s="73"/>
    </row>
    <row r="3432" spans="1:2" x14ac:dyDescent="0.25">
      <c r="A3432" s="73"/>
      <c r="B3432" s="73"/>
    </row>
    <row r="3433" spans="1:2" x14ac:dyDescent="0.25">
      <c r="A3433" s="73"/>
      <c r="B3433" s="73"/>
    </row>
    <row r="3434" spans="1:2" x14ac:dyDescent="0.25">
      <c r="A3434" s="73"/>
      <c r="B3434" s="73"/>
    </row>
    <row r="3435" spans="1:2" x14ac:dyDescent="0.25">
      <c r="A3435" s="73"/>
      <c r="B3435" s="73"/>
    </row>
    <row r="3436" spans="1:2" x14ac:dyDescent="0.25">
      <c r="A3436" s="73"/>
      <c r="B3436" s="73"/>
    </row>
    <row r="3437" spans="1:2" x14ac:dyDescent="0.25">
      <c r="A3437" s="73"/>
      <c r="B3437" s="73"/>
    </row>
    <row r="3438" spans="1:2" x14ac:dyDescent="0.25">
      <c r="A3438" s="73"/>
      <c r="B3438" s="73"/>
    </row>
    <row r="3439" spans="1:2" x14ac:dyDescent="0.25">
      <c r="A3439" s="73"/>
      <c r="B3439" s="73"/>
    </row>
    <row r="3440" spans="1:2" x14ac:dyDescent="0.25">
      <c r="A3440" s="73"/>
      <c r="B3440" s="73"/>
    </row>
    <row r="3441" spans="1:2" x14ac:dyDescent="0.25">
      <c r="A3441" s="73"/>
      <c r="B3441" s="73"/>
    </row>
    <row r="3442" spans="1:2" x14ac:dyDescent="0.25">
      <c r="A3442" s="73"/>
      <c r="B3442" s="73"/>
    </row>
    <row r="3443" spans="1:2" x14ac:dyDescent="0.25">
      <c r="A3443" s="73"/>
      <c r="B3443" s="73"/>
    </row>
    <row r="3444" spans="1:2" x14ac:dyDescent="0.25">
      <c r="A3444" s="73"/>
      <c r="B3444" s="73"/>
    </row>
    <row r="3445" spans="1:2" x14ac:dyDescent="0.25">
      <c r="A3445" s="73"/>
      <c r="B3445" s="73"/>
    </row>
    <row r="3446" spans="1:2" x14ac:dyDescent="0.25">
      <c r="A3446" s="73"/>
      <c r="B3446" s="73"/>
    </row>
    <row r="3447" spans="1:2" x14ac:dyDescent="0.25">
      <c r="A3447" s="73"/>
      <c r="B3447" s="73"/>
    </row>
    <row r="3448" spans="1:2" x14ac:dyDescent="0.25">
      <c r="A3448" s="73"/>
      <c r="B3448" s="73"/>
    </row>
    <row r="3449" spans="1:2" x14ac:dyDescent="0.25">
      <c r="A3449" s="73"/>
      <c r="B3449" s="73"/>
    </row>
    <row r="3450" spans="1:2" x14ac:dyDescent="0.25">
      <c r="A3450" s="73"/>
      <c r="B3450" s="73"/>
    </row>
    <row r="3451" spans="1:2" x14ac:dyDescent="0.25">
      <c r="A3451" s="73"/>
      <c r="B3451" s="73"/>
    </row>
    <row r="3452" spans="1:2" x14ac:dyDescent="0.25">
      <c r="A3452" s="73"/>
      <c r="B3452" s="73"/>
    </row>
    <row r="3453" spans="1:2" x14ac:dyDescent="0.25">
      <c r="A3453" s="73"/>
      <c r="B3453" s="73"/>
    </row>
    <row r="3454" spans="1:2" x14ac:dyDescent="0.25">
      <c r="A3454" s="73"/>
      <c r="B3454" s="73"/>
    </row>
    <row r="3455" spans="1:2" x14ac:dyDescent="0.25">
      <c r="A3455" s="73"/>
      <c r="B3455" s="73"/>
    </row>
    <row r="3456" spans="1:2" x14ac:dyDescent="0.25">
      <c r="A3456" s="73"/>
      <c r="B3456" s="73"/>
    </row>
    <row r="3457" spans="1:2" x14ac:dyDescent="0.25">
      <c r="A3457" s="73"/>
      <c r="B3457" s="73"/>
    </row>
    <row r="3458" spans="1:2" x14ac:dyDescent="0.25">
      <c r="A3458" s="73"/>
      <c r="B3458" s="73"/>
    </row>
    <row r="3459" spans="1:2" x14ac:dyDescent="0.25">
      <c r="A3459" s="73"/>
      <c r="B3459" s="73"/>
    </row>
    <row r="3460" spans="1:2" x14ac:dyDescent="0.25">
      <c r="A3460" s="73"/>
      <c r="B3460" s="73"/>
    </row>
    <row r="3461" spans="1:2" x14ac:dyDescent="0.25">
      <c r="A3461" s="73"/>
      <c r="B3461" s="73"/>
    </row>
    <row r="3462" spans="1:2" x14ac:dyDescent="0.25">
      <c r="A3462" s="73"/>
      <c r="B3462" s="73"/>
    </row>
    <row r="3463" spans="1:2" x14ac:dyDescent="0.25">
      <c r="A3463" s="73"/>
      <c r="B3463" s="73"/>
    </row>
    <row r="3464" spans="1:2" x14ac:dyDescent="0.25">
      <c r="A3464" s="73"/>
      <c r="B3464" s="73"/>
    </row>
    <row r="3465" spans="1:2" x14ac:dyDescent="0.25">
      <c r="A3465" s="73"/>
      <c r="B3465" s="73"/>
    </row>
    <row r="3466" spans="1:2" x14ac:dyDescent="0.25">
      <c r="A3466" s="73"/>
      <c r="B3466" s="73"/>
    </row>
    <row r="3467" spans="1:2" x14ac:dyDescent="0.25">
      <c r="A3467" s="73"/>
      <c r="B3467" s="73"/>
    </row>
    <row r="3468" spans="1:2" x14ac:dyDescent="0.25">
      <c r="A3468" s="73"/>
      <c r="B3468" s="73"/>
    </row>
    <row r="3469" spans="1:2" x14ac:dyDescent="0.25">
      <c r="A3469" s="73"/>
      <c r="B3469" s="73"/>
    </row>
    <row r="3470" spans="1:2" x14ac:dyDescent="0.25">
      <c r="A3470" s="73"/>
      <c r="B3470" s="73"/>
    </row>
    <row r="3471" spans="1:2" x14ac:dyDescent="0.25">
      <c r="A3471" s="73"/>
      <c r="B3471" s="73"/>
    </row>
    <row r="3472" spans="1:2" x14ac:dyDescent="0.25">
      <c r="A3472" s="73"/>
      <c r="B3472" s="73"/>
    </row>
    <row r="3473" spans="1:2" x14ac:dyDescent="0.25">
      <c r="A3473" s="73"/>
      <c r="B3473" s="73"/>
    </row>
    <row r="3474" spans="1:2" x14ac:dyDescent="0.25">
      <c r="A3474" s="73"/>
      <c r="B3474" s="73"/>
    </row>
    <row r="3475" spans="1:2" x14ac:dyDescent="0.25">
      <c r="A3475" s="73"/>
      <c r="B3475" s="73"/>
    </row>
    <row r="3476" spans="1:2" x14ac:dyDescent="0.25">
      <c r="A3476" s="73"/>
      <c r="B3476" s="73"/>
    </row>
    <row r="3477" spans="1:2" x14ac:dyDescent="0.25">
      <c r="A3477" s="73"/>
      <c r="B3477" s="73"/>
    </row>
    <row r="3478" spans="1:2" x14ac:dyDescent="0.25">
      <c r="A3478" s="73"/>
      <c r="B3478" s="73"/>
    </row>
    <row r="3479" spans="1:2" x14ac:dyDescent="0.25">
      <c r="A3479" s="73"/>
      <c r="B3479" s="73"/>
    </row>
    <row r="3480" spans="1:2" x14ac:dyDescent="0.25">
      <c r="A3480" s="73"/>
      <c r="B3480" s="73"/>
    </row>
    <row r="3481" spans="1:2" x14ac:dyDescent="0.25">
      <c r="A3481" s="73"/>
      <c r="B3481" s="73"/>
    </row>
    <row r="3482" spans="1:2" x14ac:dyDescent="0.25">
      <c r="A3482" s="73"/>
      <c r="B3482" s="73"/>
    </row>
    <row r="3483" spans="1:2" x14ac:dyDescent="0.25">
      <c r="A3483" s="73"/>
      <c r="B3483" s="73"/>
    </row>
    <row r="3484" spans="1:2" x14ac:dyDescent="0.25">
      <c r="A3484" s="73"/>
      <c r="B3484" s="73"/>
    </row>
    <row r="3485" spans="1:2" x14ac:dyDescent="0.25">
      <c r="A3485" s="73"/>
      <c r="B3485" s="73"/>
    </row>
    <row r="3486" spans="1:2" x14ac:dyDescent="0.25">
      <c r="A3486" s="73"/>
      <c r="B3486" s="73"/>
    </row>
    <row r="3487" spans="1:2" x14ac:dyDescent="0.25">
      <c r="A3487" s="73"/>
      <c r="B3487" s="73"/>
    </row>
    <row r="3488" spans="1:2" x14ac:dyDescent="0.25">
      <c r="A3488" s="73"/>
      <c r="B3488" s="73"/>
    </row>
    <row r="3489" spans="1:2" x14ac:dyDescent="0.25">
      <c r="A3489" s="73"/>
      <c r="B3489" s="73"/>
    </row>
    <row r="3490" spans="1:2" x14ac:dyDescent="0.25">
      <c r="A3490" s="73"/>
      <c r="B3490" s="73"/>
    </row>
    <row r="3491" spans="1:2" x14ac:dyDescent="0.25">
      <c r="A3491" s="73"/>
      <c r="B3491" s="73"/>
    </row>
    <row r="3492" spans="1:2" x14ac:dyDescent="0.25">
      <c r="A3492" s="73"/>
      <c r="B3492" s="73"/>
    </row>
    <row r="3493" spans="1:2" x14ac:dyDescent="0.25">
      <c r="A3493" s="73"/>
      <c r="B3493" s="73"/>
    </row>
    <row r="3494" spans="1:2" x14ac:dyDescent="0.25">
      <c r="A3494" s="73"/>
      <c r="B3494" s="73"/>
    </row>
    <row r="3495" spans="1:2" x14ac:dyDescent="0.25">
      <c r="A3495" s="73"/>
      <c r="B3495" s="73"/>
    </row>
    <row r="3496" spans="1:2" x14ac:dyDescent="0.25">
      <c r="A3496" s="73"/>
      <c r="B3496" s="73"/>
    </row>
    <row r="3497" spans="1:2" x14ac:dyDescent="0.25">
      <c r="A3497" s="73"/>
      <c r="B3497" s="73"/>
    </row>
    <row r="3498" spans="1:2" x14ac:dyDescent="0.25">
      <c r="A3498" s="73"/>
      <c r="B3498" s="73"/>
    </row>
    <row r="3499" spans="1:2" x14ac:dyDescent="0.25">
      <c r="A3499" s="73"/>
      <c r="B3499" s="73"/>
    </row>
    <row r="3500" spans="1:2" x14ac:dyDescent="0.25">
      <c r="A3500" s="73"/>
      <c r="B3500" s="73"/>
    </row>
    <row r="3501" spans="1:2" x14ac:dyDescent="0.25">
      <c r="A3501" s="73"/>
      <c r="B3501" s="73"/>
    </row>
    <row r="3502" spans="1:2" x14ac:dyDescent="0.25">
      <c r="A3502" s="73"/>
      <c r="B3502" s="73"/>
    </row>
    <row r="3503" spans="1:2" x14ac:dyDescent="0.25">
      <c r="A3503" s="73"/>
      <c r="B3503" s="73"/>
    </row>
    <row r="3504" spans="1:2" x14ac:dyDescent="0.25">
      <c r="A3504" s="73"/>
      <c r="B3504" s="73"/>
    </row>
    <row r="3505" spans="1:2" x14ac:dyDescent="0.25">
      <c r="A3505" s="73"/>
      <c r="B3505" s="73"/>
    </row>
    <row r="3506" spans="1:2" x14ac:dyDescent="0.25">
      <c r="A3506" s="73"/>
      <c r="B3506" s="73"/>
    </row>
    <row r="3507" spans="1:2" x14ac:dyDescent="0.25">
      <c r="A3507" s="73"/>
      <c r="B3507" s="73"/>
    </row>
    <row r="3508" spans="1:2" x14ac:dyDescent="0.25">
      <c r="A3508" s="73"/>
      <c r="B3508" s="73"/>
    </row>
    <row r="3509" spans="1:2" x14ac:dyDescent="0.25">
      <c r="A3509" s="73"/>
      <c r="B3509" s="73"/>
    </row>
    <row r="3510" spans="1:2" x14ac:dyDescent="0.25">
      <c r="A3510" s="73"/>
      <c r="B3510" s="73"/>
    </row>
    <row r="3511" spans="1:2" x14ac:dyDescent="0.25">
      <c r="A3511" s="73"/>
      <c r="B3511" s="73"/>
    </row>
    <row r="3512" spans="1:2" x14ac:dyDescent="0.25">
      <c r="A3512" s="73"/>
      <c r="B3512" s="73"/>
    </row>
    <row r="3513" spans="1:2" x14ac:dyDescent="0.25">
      <c r="A3513" s="73"/>
      <c r="B3513" s="73"/>
    </row>
    <row r="3514" spans="1:2" x14ac:dyDescent="0.25">
      <c r="A3514" s="73"/>
      <c r="B3514" s="73"/>
    </row>
    <row r="3515" spans="1:2" x14ac:dyDescent="0.25">
      <c r="A3515" s="73"/>
      <c r="B3515" s="73"/>
    </row>
    <row r="3516" spans="1:2" x14ac:dyDescent="0.25">
      <c r="A3516" s="73"/>
      <c r="B3516" s="73"/>
    </row>
    <row r="3517" spans="1:2" x14ac:dyDescent="0.25">
      <c r="A3517" s="73"/>
      <c r="B3517" s="73"/>
    </row>
    <row r="3518" spans="1:2" x14ac:dyDescent="0.25">
      <c r="A3518" s="73"/>
      <c r="B3518" s="73"/>
    </row>
    <row r="3519" spans="1:2" x14ac:dyDescent="0.25">
      <c r="A3519" s="73"/>
      <c r="B3519" s="73"/>
    </row>
    <row r="3520" spans="1:2" x14ac:dyDescent="0.25">
      <c r="A3520" s="73"/>
      <c r="B3520" s="73"/>
    </row>
    <row r="3521" spans="1:2" x14ac:dyDescent="0.25">
      <c r="A3521" s="73"/>
      <c r="B3521" s="73"/>
    </row>
    <row r="3522" spans="1:2" x14ac:dyDescent="0.25">
      <c r="A3522" s="73"/>
      <c r="B3522" s="73"/>
    </row>
    <row r="3523" spans="1:2" x14ac:dyDescent="0.25">
      <c r="A3523" s="73"/>
      <c r="B3523" s="73"/>
    </row>
    <row r="3524" spans="1:2" x14ac:dyDescent="0.25">
      <c r="A3524" s="73"/>
      <c r="B3524" s="73"/>
    </row>
    <row r="3525" spans="1:2" x14ac:dyDescent="0.25">
      <c r="A3525" s="73"/>
      <c r="B3525" s="73"/>
    </row>
    <row r="3526" spans="1:2" x14ac:dyDescent="0.25">
      <c r="A3526" s="73"/>
      <c r="B3526" s="73"/>
    </row>
    <row r="3527" spans="1:2" x14ac:dyDescent="0.25">
      <c r="A3527" s="73"/>
      <c r="B3527" s="73"/>
    </row>
    <row r="3528" spans="1:2" x14ac:dyDescent="0.25">
      <c r="A3528" s="73"/>
      <c r="B3528" s="73"/>
    </row>
    <row r="3529" spans="1:2" x14ac:dyDescent="0.25">
      <c r="A3529" s="73"/>
      <c r="B3529" s="73"/>
    </row>
    <row r="3530" spans="1:2" x14ac:dyDescent="0.25">
      <c r="A3530" s="73"/>
      <c r="B3530" s="73"/>
    </row>
    <row r="3531" spans="1:2" x14ac:dyDescent="0.25">
      <c r="A3531" s="73"/>
      <c r="B3531" s="73"/>
    </row>
    <row r="3532" spans="1:2" x14ac:dyDescent="0.25">
      <c r="A3532" s="73"/>
      <c r="B3532" s="73"/>
    </row>
    <row r="3533" spans="1:2" x14ac:dyDescent="0.25">
      <c r="A3533" s="73"/>
      <c r="B3533" s="73"/>
    </row>
    <row r="3534" spans="1:2" x14ac:dyDescent="0.25">
      <c r="A3534" s="73"/>
      <c r="B3534" s="73"/>
    </row>
    <row r="3535" spans="1:2" x14ac:dyDescent="0.25">
      <c r="A3535" s="73"/>
      <c r="B3535" s="73"/>
    </row>
    <row r="3536" spans="1:2" x14ac:dyDescent="0.25">
      <c r="A3536" s="73"/>
      <c r="B3536" s="73"/>
    </row>
    <row r="3537" spans="1:2" x14ac:dyDescent="0.25">
      <c r="A3537" s="73"/>
      <c r="B3537" s="73"/>
    </row>
    <row r="3538" spans="1:2" x14ac:dyDescent="0.25">
      <c r="A3538" s="73"/>
      <c r="B3538" s="73"/>
    </row>
    <row r="3539" spans="1:2" x14ac:dyDescent="0.25">
      <c r="A3539" s="73"/>
      <c r="B3539" s="73"/>
    </row>
    <row r="3540" spans="1:2" x14ac:dyDescent="0.25">
      <c r="A3540" s="73"/>
      <c r="B3540" s="73"/>
    </row>
    <row r="3541" spans="1:2" x14ac:dyDescent="0.25">
      <c r="A3541" s="73"/>
      <c r="B3541" s="73"/>
    </row>
    <row r="3542" spans="1:2" x14ac:dyDescent="0.25">
      <c r="A3542" s="73"/>
      <c r="B3542" s="73"/>
    </row>
    <row r="3543" spans="1:2" x14ac:dyDescent="0.25">
      <c r="A3543" s="73"/>
      <c r="B3543" s="73"/>
    </row>
    <row r="3544" spans="1:2" x14ac:dyDescent="0.25">
      <c r="A3544" s="73"/>
      <c r="B3544" s="73"/>
    </row>
    <row r="3545" spans="1:2" x14ac:dyDescent="0.25">
      <c r="A3545" s="73"/>
      <c r="B3545" s="73"/>
    </row>
    <row r="3546" spans="1:2" x14ac:dyDescent="0.25">
      <c r="A3546" s="73"/>
      <c r="B3546" s="73"/>
    </row>
    <row r="3547" spans="1:2" x14ac:dyDescent="0.25">
      <c r="A3547" s="73"/>
      <c r="B3547" s="73"/>
    </row>
    <row r="3548" spans="1:2" x14ac:dyDescent="0.25">
      <c r="A3548" s="73"/>
      <c r="B3548" s="73"/>
    </row>
    <row r="3549" spans="1:2" x14ac:dyDescent="0.25">
      <c r="A3549" s="73"/>
      <c r="B3549" s="73"/>
    </row>
    <row r="3550" spans="1:2" x14ac:dyDescent="0.25">
      <c r="A3550" s="73"/>
      <c r="B3550" s="73"/>
    </row>
    <row r="3551" spans="1:2" x14ac:dyDescent="0.25">
      <c r="A3551" s="73"/>
      <c r="B3551" s="73"/>
    </row>
    <row r="3552" spans="1:2" x14ac:dyDescent="0.25">
      <c r="A3552" s="73"/>
      <c r="B3552" s="73"/>
    </row>
    <row r="3553" spans="1:2" x14ac:dyDescent="0.25">
      <c r="A3553" s="73"/>
      <c r="B3553" s="73"/>
    </row>
    <row r="3554" spans="1:2" x14ac:dyDescent="0.25">
      <c r="A3554" s="73"/>
      <c r="B3554" s="73"/>
    </row>
    <row r="3555" spans="1:2" x14ac:dyDescent="0.25">
      <c r="A3555" s="73"/>
      <c r="B3555" s="73"/>
    </row>
    <row r="3556" spans="1:2" x14ac:dyDescent="0.25">
      <c r="A3556" s="73"/>
      <c r="B3556" s="73"/>
    </row>
    <row r="3557" spans="1:2" x14ac:dyDescent="0.25">
      <c r="A3557" s="73"/>
      <c r="B3557" s="73"/>
    </row>
    <row r="3558" spans="1:2" x14ac:dyDescent="0.25">
      <c r="A3558" s="73"/>
      <c r="B3558" s="73"/>
    </row>
    <row r="3559" spans="1:2" x14ac:dyDescent="0.25">
      <c r="A3559" s="73"/>
      <c r="B3559" s="73"/>
    </row>
    <row r="3560" spans="1:2" x14ac:dyDescent="0.25">
      <c r="A3560" s="73"/>
      <c r="B3560" s="73"/>
    </row>
    <row r="3561" spans="1:2" x14ac:dyDescent="0.25">
      <c r="A3561" s="73"/>
      <c r="B3561" s="73"/>
    </row>
    <row r="3562" spans="1:2" x14ac:dyDescent="0.25">
      <c r="A3562" s="73"/>
      <c r="B3562" s="73"/>
    </row>
    <row r="3563" spans="1:2" x14ac:dyDescent="0.25">
      <c r="A3563" s="73"/>
      <c r="B3563" s="73"/>
    </row>
    <row r="3564" spans="1:2" x14ac:dyDescent="0.25">
      <c r="A3564" s="73"/>
      <c r="B3564" s="73"/>
    </row>
    <row r="3565" spans="1:2" x14ac:dyDescent="0.25">
      <c r="A3565" s="73"/>
      <c r="B3565" s="73"/>
    </row>
    <row r="3566" spans="1:2" x14ac:dyDescent="0.25">
      <c r="A3566" s="73"/>
      <c r="B3566" s="73"/>
    </row>
    <row r="3567" spans="1:2" x14ac:dyDescent="0.25">
      <c r="A3567" s="73"/>
      <c r="B3567" s="73"/>
    </row>
    <row r="3568" spans="1:2" x14ac:dyDescent="0.25">
      <c r="A3568" s="73"/>
      <c r="B3568" s="73"/>
    </row>
    <row r="3569" spans="1:2" x14ac:dyDescent="0.25">
      <c r="A3569" s="73"/>
      <c r="B3569" s="73"/>
    </row>
    <row r="3570" spans="1:2" x14ac:dyDescent="0.25">
      <c r="A3570" s="73"/>
      <c r="B3570" s="73"/>
    </row>
    <row r="3571" spans="1:2" x14ac:dyDescent="0.25">
      <c r="A3571" s="73"/>
      <c r="B3571" s="73"/>
    </row>
    <row r="3572" spans="1:2" x14ac:dyDescent="0.25">
      <c r="A3572" s="73"/>
      <c r="B3572" s="73"/>
    </row>
    <row r="3573" spans="1:2" x14ac:dyDescent="0.25">
      <c r="A3573" s="73"/>
      <c r="B3573" s="73"/>
    </row>
    <row r="3574" spans="1:2" x14ac:dyDescent="0.25">
      <c r="A3574" s="73"/>
      <c r="B3574" s="73"/>
    </row>
    <row r="3575" spans="1:2" x14ac:dyDescent="0.25">
      <c r="A3575" s="73"/>
      <c r="B3575" s="73"/>
    </row>
    <row r="3576" spans="1:2" x14ac:dyDescent="0.25">
      <c r="A3576" s="73"/>
      <c r="B3576" s="73"/>
    </row>
    <row r="3577" spans="1:2" x14ac:dyDescent="0.25">
      <c r="A3577" s="73"/>
      <c r="B3577" s="73"/>
    </row>
    <row r="3578" spans="1:2" x14ac:dyDescent="0.25">
      <c r="A3578" s="73"/>
      <c r="B3578" s="73"/>
    </row>
    <row r="3579" spans="1:2" x14ac:dyDescent="0.25">
      <c r="A3579" s="73"/>
      <c r="B3579" s="73"/>
    </row>
    <row r="3580" spans="1:2" x14ac:dyDescent="0.25">
      <c r="A3580" s="73"/>
      <c r="B3580" s="73"/>
    </row>
    <row r="3581" spans="1:2" x14ac:dyDescent="0.25">
      <c r="A3581" s="73"/>
      <c r="B3581" s="73"/>
    </row>
    <row r="3582" spans="1:2" x14ac:dyDescent="0.25">
      <c r="A3582" s="73"/>
      <c r="B3582" s="73"/>
    </row>
    <row r="3583" spans="1:2" x14ac:dyDescent="0.25">
      <c r="A3583" s="73"/>
      <c r="B3583" s="73"/>
    </row>
    <row r="3584" spans="1:2" x14ac:dyDescent="0.25">
      <c r="A3584" s="73"/>
      <c r="B3584" s="73"/>
    </row>
    <row r="3585" spans="1:2" x14ac:dyDescent="0.25">
      <c r="A3585" s="73"/>
      <c r="B3585" s="73"/>
    </row>
    <row r="3586" spans="1:2" x14ac:dyDescent="0.25">
      <c r="A3586" s="73"/>
      <c r="B3586" s="73"/>
    </row>
    <row r="3587" spans="1:2" x14ac:dyDescent="0.25">
      <c r="A3587" s="73"/>
      <c r="B3587" s="73"/>
    </row>
    <row r="3588" spans="1:2" x14ac:dyDescent="0.25">
      <c r="A3588" s="73"/>
      <c r="B3588" s="73"/>
    </row>
    <row r="3589" spans="1:2" x14ac:dyDescent="0.25">
      <c r="A3589" s="73"/>
      <c r="B3589" s="73"/>
    </row>
    <row r="3590" spans="1:2" x14ac:dyDescent="0.25">
      <c r="A3590" s="73"/>
      <c r="B3590" s="73"/>
    </row>
    <row r="3591" spans="1:2" x14ac:dyDescent="0.25">
      <c r="A3591" s="73"/>
      <c r="B3591" s="73"/>
    </row>
    <row r="3592" spans="1:2" x14ac:dyDescent="0.25">
      <c r="A3592" s="73"/>
      <c r="B3592" s="73"/>
    </row>
    <row r="3593" spans="1:2" x14ac:dyDescent="0.25">
      <c r="A3593" s="73"/>
      <c r="B3593" s="73"/>
    </row>
    <row r="3594" spans="1:2" x14ac:dyDescent="0.25">
      <c r="A3594" s="73"/>
      <c r="B3594" s="73"/>
    </row>
    <row r="3595" spans="1:2" x14ac:dyDescent="0.25">
      <c r="A3595" s="73"/>
      <c r="B3595" s="73"/>
    </row>
    <row r="3596" spans="1:2" x14ac:dyDescent="0.25">
      <c r="A3596" s="73"/>
      <c r="B3596" s="73"/>
    </row>
    <row r="3597" spans="1:2" x14ac:dyDescent="0.25">
      <c r="A3597" s="73"/>
      <c r="B3597" s="73"/>
    </row>
    <row r="3598" spans="1:2" x14ac:dyDescent="0.25">
      <c r="A3598" s="73"/>
      <c r="B3598" s="73"/>
    </row>
    <row r="3599" spans="1:2" x14ac:dyDescent="0.25">
      <c r="A3599" s="73"/>
      <c r="B3599" s="73"/>
    </row>
    <row r="3600" spans="1:2" x14ac:dyDescent="0.25">
      <c r="A3600" s="73"/>
      <c r="B3600" s="73"/>
    </row>
    <row r="3601" spans="1:2" x14ac:dyDescent="0.25">
      <c r="A3601" s="73"/>
      <c r="B3601" s="73"/>
    </row>
    <row r="3602" spans="1:2" x14ac:dyDescent="0.25">
      <c r="A3602" s="73"/>
      <c r="B3602" s="73"/>
    </row>
    <row r="3603" spans="1:2" x14ac:dyDescent="0.25">
      <c r="A3603" s="73"/>
      <c r="B3603" s="73"/>
    </row>
    <row r="3604" spans="1:2" x14ac:dyDescent="0.25">
      <c r="A3604" s="73"/>
      <c r="B3604" s="73"/>
    </row>
    <row r="3605" spans="1:2" x14ac:dyDescent="0.25">
      <c r="A3605" s="73"/>
      <c r="B3605" s="73"/>
    </row>
    <row r="3606" spans="1:2" x14ac:dyDescent="0.25">
      <c r="A3606" s="73"/>
      <c r="B3606" s="73"/>
    </row>
    <row r="3607" spans="1:2" x14ac:dyDescent="0.25">
      <c r="A3607" s="73"/>
      <c r="B3607" s="73"/>
    </row>
    <row r="3608" spans="1:2" x14ac:dyDescent="0.25">
      <c r="A3608" s="73"/>
      <c r="B3608" s="73"/>
    </row>
    <row r="3609" spans="1:2" x14ac:dyDescent="0.25">
      <c r="A3609" s="73"/>
      <c r="B3609" s="73"/>
    </row>
    <row r="3610" spans="1:2" x14ac:dyDescent="0.25">
      <c r="A3610" s="73"/>
      <c r="B3610" s="73"/>
    </row>
    <row r="3611" spans="1:2" x14ac:dyDescent="0.25">
      <c r="A3611" s="73"/>
      <c r="B3611" s="73"/>
    </row>
    <row r="3612" spans="1:2" x14ac:dyDescent="0.25">
      <c r="A3612" s="73"/>
      <c r="B3612" s="73"/>
    </row>
    <row r="3613" spans="1:2" x14ac:dyDescent="0.25">
      <c r="A3613" s="73"/>
      <c r="B3613" s="73"/>
    </row>
    <row r="3614" spans="1:2" x14ac:dyDescent="0.25">
      <c r="A3614" s="73"/>
      <c r="B3614" s="73"/>
    </row>
    <row r="3615" spans="1:2" x14ac:dyDescent="0.25">
      <c r="A3615" s="73"/>
      <c r="B3615" s="73"/>
    </row>
    <row r="3616" spans="1:2" x14ac:dyDescent="0.25">
      <c r="A3616" s="73"/>
      <c r="B3616" s="73"/>
    </row>
    <row r="3617" spans="1:2" x14ac:dyDescent="0.25">
      <c r="A3617" s="73"/>
      <c r="B3617" s="73"/>
    </row>
    <row r="3618" spans="1:2" x14ac:dyDescent="0.25">
      <c r="A3618" s="73"/>
      <c r="B3618" s="73"/>
    </row>
    <row r="3619" spans="1:2" x14ac:dyDescent="0.25">
      <c r="A3619" s="73"/>
      <c r="B3619" s="73"/>
    </row>
    <row r="3620" spans="1:2" x14ac:dyDescent="0.25">
      <c r="A3620" s="73"/>
      <c r="B3620" s="73"/>
    </row>
    <row r="3621" spans="1:2" x14ac:dyDescent="0.25">
      <c r="A3621" s="73"/>
      <c r="B3621" s="73"/>
    </row>
    <row r="3622" spans="1:2" x14ac:dyDescent="0.25">
      <c r="A3622" s="73"/>
      <c r="B3622" s="73"/>
    </row>
    <row r="3623" spans="1:2" x14ac:dyDescent="0.25">
      <c r="A3623" s="73"/>
      <c r="B3623" s="73"/>
    </row>
    <row r="3624" spans="1:2" x14ac:dyDescent="0.25">
      <c r="A3624" s="73"/>
      <c r="B3624" s="73"/>
    </row>
    <row r="3625" spans="1:2" x14ac:dyDescent="0.25">
      <c r="A3625" s="73"/>
      <c r="B3625" s="73"/>
    </row>
    <row r="3626" spans="1:2" x14ac:dyDescent="0.25">
      <c r="A3626" s="73"/>
      <c r="B3626" s="73"/>
    </row>
    <row r="3627" spans="1:2" x14ac:dyDescent="0.25">
      <c r="A3627" s="73"/>
      <c r="B3627" s="73"/>
    </row>
    <row r="3628" spans="1:2" x14ac:dyDescent="0.25">
      <c r="A3628" s="73"/>
      <c r="B3628" s="73"/>
    </row>
    <row r="3629" spans="1:2" x14ac:dyDescent="0.25">
      <c r="A3629" s="73"/>
      <c r="B3629" s="73"/>
    </row>
    <row r="3630" spans="1:2" x14ac:dyDescent="0.25">
      <c r="A3630" s="73"/>
      <c r="B3630" s="73"/>
    </row>
    <row r="3631" spans="1:2" x14ac:dyDescent="0.25">
      <c r="A3631" s="73"/>
      <c r="B3631" s="73"/>
    </row>
    <row r="3632" spans="1:2" x14ac:dyDescent="0.25">
      <c r="A3632" s="73"/>
      <c r="B3632" s="73"/>
    </row>
    <row r="3633" spans="1:2" x14ac:dyDescent="0.25">
      <c r="A3633" s="73"/>
      <c r="B3633" s="73"/>
    </row>
    <row r="3634" spans="1:2" x14ac:dyDescent="0.25">
      <c r="A3634" s="73"/>
      <c r="B3634" s="73"/>
    </row>
    <row r="3635" spans="1:2" x14ac:dyDescent="0.25">
      <c r="A3635" s="73"/>
      <c r="B3635" s="73"/>
    </row>
    <row r="3636" spans="1:2" x14ac:dyDescent="0.25">
      <c r="A3636" s="73"/>
      <c r="B3636" s="73"/>
    </row>
    <row r="3637" spans="1:2" x14ac:dyDescent="0.25">
      <c r="A3637" s="73"/>
      <c r="B3637" s="73"/>
    </row>
    <row r="3638" spans="1:2" x14ac:dyDescent="0.25">
      <c r="A3638" s="73"/>
      <c r="B3638" s="73"/>
    </row>
    <row r="3639" spans="1:2" x14ac:dyDescent="0.25">
      <c r="A3639" s="73"/>
      <c r="B3639" s="73"/>
    </row>
    <row r="3640" spans="1:2" x14ac:dyDescent="0.25">
      <c r="A3640" s="73"/>
      <c r="B3640" s="73"/>
    </row>
    <row r="3641" spans="1:2" x14ac:dyDescent="0.25">
      <c r="A3641" s="73"/>
      <c r="B3641" s="73"/>
    </row>
    <row r="3642" spans="1:2" x14ac:dyDescent="0.25">
      <c r="A3642" s="73"/>
      <c r="B3642" s="73"/>
    </row>
    <row r="3643" spans="1:2" x14ac:dyDescent="0.25">
      <c r="A3643" s="73"/>
      <c r="B3643" s="73"/>
    </row>
    <row r="3644" spans="1:2" x14ac:dyDescent="0.25">
      <c r="A3644" s="73"/>
      <c r="B3644" s="73"/>
    </row>
    <row r="3645" spans="1:2" x14ac:dyDescent="0.25">
      <c r="A3645" s="73"/>
      <c r="B3645" s="73"/>
    </row>
    <row r="3646" spans="1:2" x14ac:dyDescent="0.25">
      <c r="A3646" s="73"/>
      <c r="B3646" s="73"/>
    </row>
    <row r="3647" spans="1:2" x14ac:dyDescent="0.25">
      <c r="A3647" s="73"/>
      <c r="B3647" s="73"/>
    </row>
    <row r="3648" spans="1:2" x14ac:dyDescent="0.25">
      <c r="A3648" s="73"/>
      <c r="B3648" s="73"/>
    </row>
    <row r="3649" spans="1:2" x14ac:dyDescent="0.25">
      <c r="A3649" s="73"/>
      <c r="B3649" s="73"/>
    </row>
    <row r="3650" spans="1:2" x14ac:dyDescent="0.25">
      <c r="A3650" s="73"/>
      <c r="B3650" s="73"/>
    </row>
    <row r="3651" spans="1:2" x14ac:dyDescent="0.25">
      <c r="A3651" s="73"/>
      <c r="B3651" s="73"/>
    </row>
    <row r="3652" spans="1:2" x14ac:dyDescent="0.25">
      <c r="A3652" s="73"/>
      <c r="B3652" s="73"/>
    </row>
    <row r="3653" spans="1:2" x14ac:dyDescent="0.25">
      <c r="A3653" s="73"/>
      <c r="B3653" s="73"/>
    </row>
    <row r="3654" spans="1:2" x14ac:dyDescent="0.25">
      <c r="A3654" s="73"/>
      <c r="B3654" s="73"/>
    </row>
    <row r="3655" spans="1:2" x14ac:dyDescent="0.25">
      <c r="A3655" s="73"/>
      <c r="B3655" s="73"/>
    </row>
    <row r="3656" spans="1:2" x14ac:dyDescent="0.25">
      <c r="A3656" s="73"/>
      <c r="B3656" s="73"/>
    </row>
    <row r="3657" spans="1:2" x14ac:dyDescent="0.25">
      <c r="A3657" s="73"/>
      <c r="B3657" s="73"/>
    </row>
    <row r="3658" spans="1:2" x14ac:dyDescent="0.25">
      <c r="A3658" s="73"/>
      <c r="B3658" s="73"/>
    </row>
    <row r="3659" spans="1:2" x14ac:dyDescent="0.25">
      <c r="A3659" s="73"/>
      <c r="B3659" s="73"/>
    </row>
    <row r="3660" spans="1:2" x14ac:dyDescent="0.25">
      <c r="A3660" s="73"/>
      <c r="B3660" s="73"/>
    </row>
    <row r="3661" spans="1:2" x14ac:dyDescent="0.25">
      <c r="A3661" s="73"/>
      <c r="B3661" s="73"/>
    </row>
    <row r="3662" spans="1:2" x14ac:dyDescent="0.25">
      <c r="A3662" s="73"/>
      <c r="B3662" s="73"/>
    </row>
    <row r="3663" spans="1:2" x14ac:dyDescent="0.25">
      <c r="A3663" s="73"/>
      <c r="B3663" s="73"/>
    </row>
    <row r="3664" spans="1:2" x14ac:dyDescent="0.25">
      <c r="A3664" s="73"/>
      <c r="B3664" s="73"/>
    </row>
    <row r="3665" spans="1:2" x14ac:dyDescent="0.25">
      <c r="A3665" s="73"/>
      <c r="B3665" s="73"/>
    </row>
    <row r="3666" spans="1:2" x14ac:dyDescent="0.25">
      <c r="A3666" s="73"/>
      <c r="B3666" s="73"/>
    </row>
    <row r="3667" spans="1:2" x14ac:dyDescent="0.25">
      <c r="A3667" s="73"/>
      <c r="B3667" s="73"/>
    </row>
    <row r="3668" spans="1:2" x14ac:dyDescent="0.25">
      <c r="A3668" s="73"/>
      <c r="B3668" s="73"/>
    </row>
    <row r="3669" spans="1:2" x14ac:dyDescent="0.25">
      <c r="A3669" s="73"/>
      <c r="B3669" s="73"/>
    </row>
    <row r="3670" spans="1:2" x14ac:dyDescent="0.25">
      <c r="A3670" s="73"/>
      <c r="B3670" s="73"/>
    </row>
    <row r="3671" spans="1:2" x14ac:dyDescent="0.25">
      <c r="A3671" s="73"/>
      <c r="B3671" s="73"/>
    </row>
    <row r="3672" spans="1:2" x14ac:dyDescent="0.25">
      <c r="A3672" s="73"/>
      <c r="B3672" s="73"/>
    </row>
    <row r="3673" spans="1:2" x14ac:dyDescent="0.25">
      <c r="A3673" s="73"/>
      <c r="B3673" s="73"/>
    </row>
    <row r="3674" spans="1:2" x14ac:dyDescent="0.25">
      <c r="A3674" s="73"/>
      <c r="B3674" s="73"/>
    </row>
    <row r="3675" spans="1:2" x14ac:dyDescent="0.25">
      <c r="A3675" s="73"/>
      <c r="B3675" s="73"/>
    </row>
    <row r="3676" spans="1:2" x14ac:dyDescent="0.25">
      <c r="A3676" s="73"/>
      <c r="B3676" s="73"/>
    </row>
    <row r="3677" spans="1:2" x14ac:dyDescent="0.25">
      <c r="A3677" s="73"/>
      <c r="B3677" s="73"/>
    </row>
    <row r="3678" spans="1:2" x14ac:dyDescent="0.25">
      <c r="A3678" s="73"/>
      <c r="B3678" s="73"/>
    </row>
    <row r="3679" spans="1:2" x14ac:dyDescent="0.25">
      <c r="A3679" s="73"/>
      <c r="B3679" s="73"/>
    </row>
    <row r="3680" spans="1:2" x14ac:dyDescent="0.25">
      <c r="A3680" s="73"/>
      <c r="B3680" s="73"/>
    </row>
    <row r="3681" spans="1:2" x14ac:dyDescent="0.25">
      <c r="A3681" s="73"/>
      <c r="B3681" s="73"/>
    </row>
    <row r="3682" spans="1:2" x14ac:dyDescent="0.25">
      <c r="A3682" s="73"/>
      <c r="B3682" s="73"/>
    </row>
    <row r="3683" spans="1:2" x14ac:dyDescent="0.25">
      <c r="A3683" s="73"/>
      <c r="B3683" s="73"/>
    </row>
    <row r="3684" spans="1:2" x14ac:dyDescent="0.25">
      <c r="A3684" s="73"/>
      <c r="B3684" s="73"/>
    </row>
    <row r="3685" spans="1:2" x14ac:dyDescent="0.25">
      <c r="A3685" s="73"/>
      <c r="B3685" s="73"/>
    </row>
    <row r="3686" spans="1:2" x14ac:dyDescent="0.25">
      <c r="A3686" s="73"/>
      <c r="B3686" s="73"/>
    </row>
    <row r="3687" spans="1:2" x14ac:dyDescent="0.25">
      <c r="A3687" s="73"/>
      <c r="B3687" s="73"/>
    </row>
    <row r="3688" spans="1:2" x14ac:dyDescent="0.25">
      <c r="A3688" s="73"/>
      <c r="B3688" s="73"/>
    </row>
    <row r="3689" spans="1:2" x14ac:dyDescent="0.25">
      <c r="A3689" s="73"/>
      <c r="B3689" s="73"/>
    </row>
    <row r="3690" spans="1:2" x14ac:dyDescent="0.25">
      <c r="A3690" s="73"/>
      <c r="B3690" s="73"/>
    </row>
    <row r="3691" spans="1:2" x14ac:dyDescent="0.25">
      <c r="A3691" s="73"/>
      <c r="B3691" s="73"/>
    </row>
    <row r="3692" spans="1:2" x14ac:dyDescent="0.25">
      <c r="A3692" s="73"/>
      <c r="B3692" s="73"/>
    </row>
    <row r="3693" spans="1:2" x14ac:dyDescent="0.25">
      <c r="A3693" s="73"/>
      <c r="B3693" s="73"/>
    </row>
    <row r="3694" spans="1:2" x14ac:dyDescent="0.25">
      <c r="A3694" s="73"/>
      <c r="B3694" s="73"/>
    </row>
    <row r="3695" spans="1:2" x14ac:dyDescent="0.25">
      <c r="A3695" s="73"/>
      <c r="B3695" s="73"/>
    </row>
    <row r="3696" spans="1:2" x14ac:dyDescent="0.25">
      <c r="A3696" s="73"/>
      <c r="B3696" s="73"/>
    </row>
    <row r="3697" spans="1:2" x14ac:dyDescent="0.25">
      <c r="A3697" s="73"/>
      <c r="B3697" s="73"/>
    </row>
    <row r="3698" spans="1:2" x14ac:dyDescent="0.25">
      <c r="A3698" s="73"/>
      <c r="B3698" s="73"/>
    </row>
    <row r="3699" spans="1:2" x14ac:dyDescent="0.25">
      <c r="A3699" s="73"/>
      <c r="B3699" s="73"/>
    </row>
    <row r="3700" spans="1:2" x14ac:dyDescent="0.25">
      <c r="A3700" s="73"/>
      <c r="B3700" s="73"/>
    </row>
    <row r="3701" spans="1:2" x14ac:dyDescent="0.25">
      <c r="A3701" s="73"/>
      <c r="B3701" s="73"/>
    </row>
    <row r="3702" spans="1:2" x14ac:dyDescent="0.25">
      <c r="A3702" s="73"/>
      <c r="B3702" s="73"/>
    </row>
    <row r="3703" spans="1:2" x14ac:dyDescent="0.25">
      <c r="A3703" s="73"/>
      <c r="B3703" s="73"/>
    </row>
    <row r="3704" spans="1:2" x14ac:dyDescent="0.25">
      <c r="A3704" s="73"/>
      <c r="B3704" s="73"/>
    </row>
    <row r="3705" spans="1:2" x14ac:dyDescent="0.25">
      <c r="A3705" s="73"/>
      <c r="B3705" s="73"/>
    </row>
    <row r="3706" spans="1:2" x14ac:dyDescent="0.25">
      <c r="A3706" s="73"/>
      <c r="B3706" s="73"/>
    </row>
    <row r="3707" spans="1:2" x14ac:dyDescent="0.25">
      <c r="A3707" s="73"/>
      <c r="B3707" s="73"/>
    </row>
    <row r="3708" spans="1:2" x14ac:dyDescent="0.25">
      <c r="A3708" s="73"/>
      <c r="B3708" s="73"/>
    </row>
    <row r="3709" spans="1:2" x14ac:dyDescent="0.25">
      <c r="A3709" s="73"/>
      <c r="B3709" s="73"/>
    </row>
    <row r="3710" spans="1:2" x14ac:dyDescent="0.25">
      <c r="A3710" s="73"/>
      <c r="B3710" s="73"/>
    </row>
    <row r="3711" spans="1:2" x14ac:dyDescent="0.25">
      <c r="A3711" s="73"/>
      <c r="B3711" s="73"/>
    </row>
    <row r="3712" spans="1:2" x14ac:dyDescent="0.25">
      <c r="A3712" s="73"/>
      <c r="B3712" s="73"/>
    </row>
    <row r="3713" spans="1:2" x14ac:dyDescent="0.25">
      <c r="A3713" s="73"/>
      <c r="B3713" s="73"/>
    </row>
    <row r="3714" spans="1:2" x14ac:dyDescent="0.25">
      <c r="A3714" s="73"/>
      <c r="B3714" s="73"/>
    </row>
    <row r="3715" spans="1:2" x14ac:dyDescent="0.25">
      <c r="A3715" s="73"/>
      <c r="B3715" s="73"/>
    </row>
    <row r="3716" spans="1:2" x14ac:dyDescent="0.25">
      <c r="A3716" s="73"/>
      <c r="B3716" s="73"/>
    </row>
    <row r="3717" spans="1:2" x14ac:dyDescent="0.25">
      <c r="A3717" s="73"/>
      <c r="B3717" s="73"/>
    </row>
    <row r="3718" spans="1:2" x14ac:dyDescent="0.25">
      <c r="A3718" s="73"/>
      <c r="B3718" s="73"/>
    </row>
    <row r="3719" spans="1:2" x14ac:dyDescent="0.25">
      <c r="A3719" s="73"/>
      <c r="B3719" s="73"/>
    </row>
    <row r="3720" spans="1:2" x14ac:dyDescent="0.25">
      <c r="A3720" s="73"/>
      <c r="B3720" s="73"/>
    </row>
    <row r="3721" spans="1:2" x14ac:dyDescent="0.25">
      <c r="A3721" s="73"/>
      <c r="B3721" s="73"/>
    </row>
    <row r="3722" spans="1:2" x14ac:dyDescent="0.25">
      <c r="A3722" s="73"/>
      <c r="B3722" s="73"/>
    </row>
    <row r="3723" spans="1:2" x14ac:dyDescent="0.25">
      <c r="A3723" s="73"/>
      <c r="B3723" s="73"/>
    </row>
    <row r="3724" spans="1:2" x14ac:dyDescent="0.25">
      <c r="A3724" s="73"/>
      <c r="B3724" s="73"/>
    </row>
    <row r="3725" spans="1:2" x14ac:dyDescent="0.25">
      <c r="A3725" s="73"/>
      <c r="B3725" s="73"/>
    </row>
    <row r="3726" spans="1:2" x14ac:dyDescent="0.25">
      <c r="A3726" s="73"/>
      <c r="B3726" s="73"/>
    </row>
    <row r="3727" spans="1:2" x14ac:dyDescent="0.25">
      <c r="A3727" s="73"/>
      <c r="B3727" s="73"/>
    </row>
    <row r="3728" spans="1:2" x14ac:dyDescent="0.25">
      <c r="A3728" s="73"/>
      <c r="B3728" s="73"/>
    </row>
    <row r="3729" spans="1:2" x14ac:dyDescent="0.25">
      <c r="A3729" s="73"/>
      <c r="B3729" s="73"/>
    </row>
    <row r="3730" spans="1:2" x14ac:dyDescent="0.25">
      <c r="A3730" s="73"/>
      <c r="B3730" s="73"/>
    </row>
    <row r="3731" spans="1:2" x14ac:dyDescent="0.25">
      <c r="A3731" s="73"/>
      <c r="B3731" s="73"/>
    </row>
    <row r="3732" spans="1:2" x14ac:dyDescent="0.25">
      <c r="A3732" s="73"/>
      <c r="B3732" s="73"/>
    </row>
    <row r="3733" spans="1:2" x14ac:dyDescent="0.25">
      <c r="A3733" s="73"/>
      <c r="B3733" s="73"/>
    </row>
    <row r="3734" spans="1:2" x14ac:dyDescent="0.25">
      <c r="A3734" s="73"/>
      <c r="B3734" s="73"/>
    </row>
    <row r="3735" spans="1:2" x14ac:dyDescent="0.25">
      <c r="A3735" s="73"/>
      <c r="B3735" s="73"/>
    </row>
    <row r="3736" spans="1:2" x14ac:dyDescent="0.25">
      <c r="A3736" s="73"/>
      <c r="B3736" s="73"/>
    </row>
    <row r="3737" spans="1:2" x14ac:dyDescent="0.25">
      <c r="A3737" s="73"/>
      <c r="B3737" s="73"/>
    </row>
    <row r="3738" spans="1:2" x14ac:dyDescent="0.25">
      <c r="A3738" s="73"/>
      <c r="B3738" s="73"/>
    </row>
    <row r="3739" spans="1:2" x14ac:dyDescent="0.25">
      <c r="A3739" s="73"/>
      <c r="B3739" s="73"/>
    </row>
    <row r="3740" spans="1:2" x14ac:dyDescent="0.25">
      <c r="A3740" s="73"/>
      <c r="B3740" s="73"/>
    </row>
    <row r="3741" spans="1:2" x14ac:dyDescent="0.25">
      <c r="A3741" s="73"/>
      <c r="B3741" s="73"/>
    </row>
    <row r="3742" spans="1:2" x14ac:dyDescent="0.25">
      <c r="A3742" s="73"/>
      <c r="B3742" s="73"/>
    </row>
    <row r="3743" spans="1:2" x14ac:dyDescent="0.25">
      <c r="A3743" s="73"/>
      <c r="B3743" s="73"/>
    </row>
    <row r="3744" spans="1:2" x14ac:dyDescent="0.25">
      <c r="A3744" s="73"/>
      <c r="B3744" s="73"/>
    </row>
    <row r="3745" spans="1:2" x14ac:dyDescent="0.25">
      <c r="A3745" s="73"/>
      <c r="B3745" s="73"/>
    </row>
    <row r="3746" spans="1:2" x14ac:dyDescent="0.25">
      <c r="A3746" s="73"/>
      <c r="B3746" s="73"/>
    </row>
    <row r="3747" spans="1:2" x14ac:dyDescent="0.25">
      <c r="A3747" s="73"/>
      <c r="B3747" s="73"/>
    </row>
    <row r="3748" spans="1:2" x14ac:dyDescent="0.25">
      <c r="A3748" s="73"/>
      <c r="B3748" s="73"/>
    </row>
    <row r="3749" spans="1:2" x14ac:dyDescent="0.25">
      <c r="A3749" s="73"/>
      <c r="B3749" s="73"/>
    </row>
    <row r="3750" spans="1:2" x14ac:dyDescent="0.25">
      <c r="A3750" s="73"/>
      <c r="B3750" s="73"/>
    </row>
    <row r="3751" spans="1:2" x14ac:dyDescent="0.25">
      <c r="A3751" s="73"/>
      <c r="B3751" s="73"/>
    </row>
    <row r="3752" spans="1:2" x14ac:dyDescent="0.25">
      <c r="A3752" s="73"/>
      <c r="B3752" s="73"/>
    </row>
    <row r="3753" spans="1:2" x14ac:dyDescent="0.25">
      <c r="A3753" s="73"/>
      <c r="B3753" s="73"/>
    </row>
    <row r="3754" spans="1:2" x14ac:dyDescent="0.25">
      <c r="A3754" s="73"/>
      <c r="B3754" s="73"/>
    </row>
    <row r="3755" spans="1:2" x14ac:dyDescent="0.25">
      <c r="A3755" s="73"/>
      <c r="B3755" s="73"/>
    </row>
    <row r="3756" spans="1:2" x14ac:dyDescent="0.25">
      <c r="A3756" s="73"/>
      <c r="B3756" s="73"/>
    </row>
    <row r="3757" spans="1:2" x14ac:dyDescent="0.25">
      <c r="A3757" s="73"/>
      <c r="B3757" s="73"/>
    </row>
    <row r="3758" spans="1:2" x14ac:dyDescent="0.25">
      <c r="A3758" s="73"/>
      <c r="B3758" s="73"/>
    </row>
    <row r="3759" spans="1:2" x14ac:dyDescent="0.25">
      <c r="A3759" s="73"/>
      <c r="B3759" s="73"/>
    </row>
    <row r="3760" spans="1:2" x14ac:dyDescent="0.25">
      <c r="A3760" s="73"/>
      <c r="B3760" s="73"/>
    </row>
    <row r="3761" spans="1:2" x14ac:dyDescent="0.25">
      <c r="A3761" s="73"/>
      <c r="B3761" s="73"/>
    </row>
    <row r="3762" spans="1:2" x14ac:dyDescent="0.25">
      <c r="A3762" s="73"/>
      <c r="B3762" s="73"/>
    </row>
    <row r="3763" spans="1:2" x14ac:dyDescent="0.25">
      <c r="A3763" s="73"/>
      <c r="B3763" s="73"/>
    </row>
    <row r="3764" spans="1:2" x14ac:dyDescent="0.25">
      <c r="A3764" s="73"/>
      <c r="B3764" s="73"/>
    </row>
    <row r="3765" spans="1:2" x14ac:dyDescent="0.25">
      <c r="A3765" s="73"/>
      <c r="B3765" s="73"/>
    </row>
    <row r="3766" spans="1:2" x14ac:dyDescent="0.25">
      <c r="A3766" s="73"/>
      <c r="B3766" s="73"/>
    </row>
    <row r="3767" spans="1:2" x14ac:dyDescent="0.25">
      <c r="A3767" s="73"/>
      <c r="B3767" s="73"/>
    </row>
    <row r="3768" spans="1:2" x14ac:dyDescent="0.25">
      <c r="A3768" s="73"/>
      <c r="B3768" s="73"/>
    </row>
    <row r="3769" spans="1:2" x14ac:dyDescent="0.25">
      <c r="A3769" s="73"/>
      <c r="B3769" s="73"/>
    </row>
    <row r="3770" spans="1:2" x14ac:dyDescent="0.25">
      <c r="A3770" s="73"/>
      <c r="B3770" s="73"/>
    </row>
    <row r="3771" spans="1:2" x14ac:dyDescent="0.25">
      <c r="A3771" s="73"/>
      <c r="B3771" s="73"/>
    </row>
    <row r="3772" spans="1:2" x14ac:dyDescent="0.25">
      <c r="A3772" s="73"/>
      <c r="B3772" s="73"/>
    </row>
    <row r="3773" spans="1:2" x14ac:dyDescent="0.25">
      <c r="A3773" s="73"/>
      <c r="B3773" s="73"/>
    </row>
    <row r="3774" spans="1:2" x14ac:dyDescent="0.25">
      <c r="A3774" s="73"/>
      <c r="B3774" s="73"/>
    </row>
    <row r="3775" spans="1:2" x14ac:dyDescent="0.25">
      <c r="A3775" s="73"/>
      <c r="B3775" s="73"/>
    </row>
    <row r="3776" spans="1:2" x14ac:dyDescent="0.25">
      <c r="A3776" s="73"/>
      <c r="B3776" s="73"/>
    </row>
    <row r="3777" spans="1:2" x14ac:dyDescent="0.25">
      <c r="A3777" s="73"/>
      <c r="B3777" s="73"/>
    </row>
    <row r="3778" spans="1:2" x14ac:dyDescent="0.25">
      <c r="A3778" s="73"/>
      <c r="B3778" s="73"/>
    </row>
    <row r="3779" spans="1:2" x14ac:dyDescent="0.25">
      <c r="A3779" s="73"/>
      <c r="B3779" s="73"/>
    </row>
    <row r="3780" spans="1:2" x14ac:dyDescent="0.25">
      <c r="A3780" s="73"/>
      <c r="B3780" s="73"/>
    </row>
    <row r="3781" spans="1:2" x14ac:dyDescent="0.25">
      <c r="A3781" s="73"/>
      <c r="B3781" s="73"/>
    </row>
    <row r="3782" spans="1:2" x14ac:dyDescent="0.25">
      <c r="A3782" s="73"/>
      <c r="B3782" s="73"/>
    </row>
    <row r="3783" spans="1:2" x14ac:dyDescent="0.25">
      <c r="A3783" s="73"/>
      <c r="B3783" s="73"/>
    </row>
    <row r="3784" spans="1:2" x14ac:dyDescent="0.25">
      <c r="A3784" s="73"/>
      <c r="B3784" s="73"/>
    </row>
    <row r="3785" spans="1:2" x14ac:dyDescent="0.25">
      <c r="A3785" s="73"/>
      <c r="B3785" s="73"/>
    </row>
    <row r="3786" spans="1:2" x14ac:dyDescent="0.25">
      <c r="A3786" s="73"/>
      <c r="B3786" s="73"/>
    </row>
    <row r="3787" spans="1:2" x14ac:dyDescent="0.25">
      <c r="A3787" s="73"/>
      <c r="B3787" s="73"/>
    </row>
    <row r="3788" spans="1:2" x14ac:dyDescent="0.25">
      <c r="A3788" s="73"/>
      <c r="B3788" s="73"/>
    </row>
    <row r="3789" spans="1:2" x14ac:dyDescent="0.25">
      <c r="A3789" s="73"/>
      <c r="B3789" s="73"/>
    </row>
    <row r="3790" spans="1:2" x14ac:dyDescent="0.25">
      <c r="A3790" s="73"/>
      <c r="B3790" s="73"/>
    </row>
    <row r="3791" spans="1:2" x14ac:dyDescent="0.25">
      <c r="A3791" s="73"/>
      <c r="B3791" s="73"/>
    </row>
    <row r="3792" spans="1:2" x14ac:dyDescent="0.25">
      <c r="A3792" s="73"/>
      <c r="B3792" s="73"/>
    </row>
    <row r="3793" spans="1:2" x14ac:dyDescent="0.25">
      <c r="A3793" s="73"/>
      <c r="B3793" s="73"/>
    </row>
    <row r="3794" spans="1:2" x14ac:dyDescent="0.25">
      <c r="A3794" s="73"/>
      <c r="B3794" s="73"/>
    </row>
    <row r="3795" spans="1:2" x14ac:dyDescent="0.25">
      <c r="A3795" s="73"/>
      <c r="B3795" s="73"/>
    </row>
    <row r="3796" spans="1:2" x14ac:dyDescent="0.25">
      <c r="A3796" s="73"/>
      <c r="B3796" s="73"/>
    </row>
    <row r="3797" spans="1:2" x14ac:dyDescent="0.25">
      <c r="A3797" s="73"/>
      <c r="B3797" s="73"/>
    </row>
    <row r="3798" spans="1:2" x14ac:dyDescent="0.25">
      <c r="A3798" s="73"/>
      <c r="B3798" s="73"/>
    </row>
    <row r="3799" spans="1:2" x14ac:dyDescent="0.25">
      <c r="A3799" s="73"/>
      <c r="B3799" s="73"/>
    </row>
    <row r="3800" spans="1:2" x14ac:dyDescent="0.25">
      <c r="A3800" s="73"/>
      <c r="B3800" s="73"/>
    </row>
    <row r="3801" spans="1:2" x14ac:dyDescent="0.25">
      <c r="A3801" s="73"/>
      <c r="B3801" s="73"/>
    </row>
    <row r="3802" spans="1:2" x14ac:dyDescent="0.25">
      <c r="A3802" s="73"/>
      <c r="B3802" s="73"/>
    </row>
    <row r="3803" spans="1:2" x14ac:dyDescent="0.25">
      <c r="A3803" s="73"/>
      <c r="B3803" s="73"/>
    </row>
    <row r="3804" spans="1:2" x14ac:dyDescent="0.25">
      <c r="A3804" s="73"/>
      <c r="B3804" s="73"/>
    </row>
    <row r="3805" spans="1:2" x14ac:dyDescent="0.25">
      <c r="A3805" s="73"/>
      <c r="B3805" s="73"/>
    </row>
    <row r="3806" spans="1:2" x14ac:dyDescent="0.25">
      <c r="A3806" s="73"/>
      <c r="B3806" s="73"/>
    </row>
    <row r="3807" spans="1:2" x14ac:dyDescent="0.25">
      <c r="A3807" s="73"/>
      <c r="B3807" s="73"/>
    </row>
    <row r="3808" spans="1:2" x14ac:dyDescent="0.25">
      <c r="A3808" s="73"/>
      <c r="B3808" s="73"/>
    </row>
    <row r="3809" spans="1:2" x14ac:dyDescent="0.25">
      <c r="A3809" s="73"/>
      <c r="B3809" s="73"/>
    </row>
    <row r="3810" spans="1:2" x14ac:dyDescent="0.25">
      <c r="A3810" s="73"/>
      <c r="B3810" s="73"/>
    </row>
    <row r="3811" spans="1:2" x14ac:dyDescent="0.25">
      <c r="A3811" s="73"/>
      <c r="B3811" s="73"/>
    </row>
    <row r="3812" spans="1:2" x14ac:dyDescent="0.25">
      <c r="A3812" s="73"/>
      <c r="B3812" s="73"/>
    </row>
    <row r="3813" spans="1:2" x14ac:dyDescent="0.25">
      <c r="A3813" s="73"/>
      <c r="B3813" s="73"/>
    </row>
    <row r="3814" spans="1:2" x14ac:dyDescent="0.25">
      <c r="A3814" s="73"/>
      <c r="B3814" s="73"/>
    </row>
    <row r="3815" spans="1:2" x14ac:dyDescent="0.25">
      <c r="A3815" s="73"/>
      <c r="B3815" s="73"/>
    </row>
    <row r="3816" spans="1:2" x14ac:dyDescent="0.25">
      <c r="A3816" s="73"/>
      <c r="B3816" s="73"/>
    </row>
    <row r="3817" spans="1:2" x14ac:dyDescent="0.25">
      <c r="A3817" s="73"/>
      <c r="B3817" s="73"/>
    </row>
    <row r="3818" spans="1:2" x14ac:dyDescent="0.25">
      <c r="A3818" s="73"/>
      <c r="B3818" s="73"/>
    </row>
    <row r="3819" spans="1:2" x14ac:dyDescent="0.25">
      <c r="A3819" s="73"/>
      <c r="B3819" s="73"/>
    </row>
    <row r="3820" spans="1:2" x14ac:dyDescent="0.25">
      <c r="A3820" s="73"/>
      <c r="B3820" s="73"/>
    </row>
    <row r="3821" spans="1:2" x14ac:dyDescent="0.25">
      <c r="A3821" s="73"/>
      <c r="B3821" s="73"/>
    </row>
    <row r="3822" spans="1:2" x14ac:dyDescent="0.25">
      <c r="A3822" s="73"/>
      <c r="B3822" s="73"/>
    </row>
    <row r="3823" spans="1:2" x14ac:dyDescent="0.25">
      <c r="A3823" s="73"/>
      <c r="B3823" s="73"/>
    </row>
    <row r="3824" spans="1:2" x14ac:dyDescent="0.25">
      <c r="A3824" s="73"/>
      <c r="B3824" s="73"/>
    </row>
    <row r="3825" spans="1:2" x14ac:dyDescent="0.25">
      <c r="A3825" s="73"/>
      <c r="B3825" s="73"/>
    </row>
    <row r="3826" spans="1:2" x14ac:dyDescent="0.25">
      <c r="A3826" s="73"/>
      <c r="B3826" s="73"/>
    </row>
    <row r="3827" spans="1:2" x14ac:dyDescent="0.25">
      <c r="A3827" s="73"/>
      <c r="B3827" s="73"/>
    </row>
    <row r="3828" spans="1:2" x14ac:dyDescent="0.25">
      <c r="A3828" s="73"/>
      <c r="B3828" s="73"/>
    </row>
    <row r="3829" spans="1:2" x14ac:dyDescent="0.25">
      <c r="A3829" s="73"/>
      <c r="B3829" s="73"/>
    </row>
    <row r="3830" spans="1:2" x14ac:dyDescent="0.25">
      <c r="A3830" s="73"/>
      <c r="B3830" s="73"/>
    </row>
    <row r="3831" spans="1:2" x14ac:dyDescent="0.25">
      <c r="A3831" s="73"/>
      <c r="B3831" s="73"/>
    </row>
    <row r="3832" spans="1:2" x14ac:dyDescent="0.25">
      <c r="A3832" s="73"/>
      <c r="B3832" s="73"/>
    </row>
    <row r="3833" spans="1:2" x14ac:dyDescent="0.25">
      <c r="A3833" s="73"/>
      <c r="B3833" s="73"/>
    </row>
    <row r="3834" spans="1:2" x14ac:dyDescent="0.25">
      <c r="A3834" s="73"/>
      <c r="B3834" s="73"/>
    </row>
    <row r="3835" spans="1:2" x14ac:dyDescent="0.25">
      <c r="A3835" s="73"/>
      <c r="B3835" s="73"/>
    </row>
    <row r="3836" spans="1:2" x14ac:dyDescent="0.25">
      <c r="A3836" s="73"/>
      <c r="B3836" s="73"/>
    </row>
    <row r="3837" spans="1:2" x14ac:dyDescent="0.25">
      <c r="A3837" s="73"/>
      <c r="B3837" s="73"/>
    </row>
    <row r="3838" spans="1:2" x14ac:dyDescent="0.25">
      <c r="A3838" s="73"/>
      <c r="B3838" s="73"/>
    </row>
    <row r="3839" spans="1:2" x14ac:dyDescent="0.25">
      <c r="A3839" s="73"/>
      <c r="B3839" s="73"/>
    </row>
    <row r="3840" spans="1:2" x14ac:dyDescent="0.25">
      <c r="A3840" s="73"/>
      <c r="B3840" s="73"/>
    </row>
    <row r="3841" spans="1:2" x14ac:dyDescent="0.25">
      <c r="A3841" s="73"/>
      <c r="B3841" s="73"/>
    </row>
    <row r="3842" spans="1:2" x14ac:dyDescent="0.25">
      <c r="A3842" s="73"/>
      <c r="B3842" s="73"/>
    </row>
    <row r="3843" spans="1:2" x14ac:dyDescent="0.25">
      <c r="A3843" s="73"/>
      <c r="B3843" s="73"/>
    </row>
    <row r="3844" spans="1:2" x14ac:dyDescent="0.25">
      <c r="A3844" s="73"/>
      <c r="B3844" s="73"/>
    </row>
    <row r="3845" spans="1:2" x14ac:dyDescent="0.25">
      <c r="A3845" s="73"/>
      <c r="B3845" s="73"/>
    </row>
    <row r="3846" spans="1:2" x14ac:dyDescent="0.25">
      <c r="A3846" s="73"/>
      <c r="B3846" s="73"/>
    </row>
    <row r="3847" spans="1:2" x14ac:dyDescent="0.25">
      <c r="A3847" s="73"/>
      <c r="B3847" s="73"/>
    </row>
    <row r="3848" spans="1:2" x14ac:dyDescent="0.25">
      <c r="A3848" s="73"/>
      <c r="B3848" s="73"/>
    </row>
    <row r="3849" spans="1:2" x14ac:dyDescent="0.25">
      <c r="A3849" s="73"/>
      <c r="B3849" s="73"/>
    </row>
    <row r="3850" spans="1:2" x14ac:dyDescent="0.25">
      <c r="A3850" s="73"/>
      <c r="B3850" s="73"/>
    </row>
    <row r="3851" spans="1:2" x14ac:dyDescent="0.25">
      <c r="A3851" s="73"/>
      <c r="B3851" s="73"/>
    </row>
    <row r="3852" spans="1:2" x14ac:dyDescent="0.25">
      <c r="A3852" s="73"/>
      <c r="B3852" s="73"/>
    </row>
    <row r="3853" spans="1:2" x14ac:dyDescent="0.25">
      <c r="A3853" s="73"/>
      <c r="B3853" s="73"/>
    </row>
    <row r="3854" spans="1:2" x14ac:dyDescent="0.25">
      <c r="A3854" s="73"/>
      <c r="B3854" s="73"/>
    </row>
    <row r="3855" spans="1:2" x14ac:dyDescent="0.25">
      <c r="A3855" s="73"/>
      <c r="B3855" s="73"/>
    </row>
    <row r="3856" spans="1:2" x14ac:dyDescent="0.25">
      <c r="A3856" s="73"/>
      <c r="B3856" s="73"/>
    </row>
    <row r="3857" spans="1:2" x14ac:dyDescent="0.25">
      <c r="A3857" s="73"/>
      <c r="B3857" s="73"/>
    </row>
    <row r="3858" spans="1:2" x14ac:dyDescent="0.25">
      <c r="A3858" s="73"/>
      <c r="B3858" s="73"/>
    </row>
    <row r="3859" spans="1:2" x14ac:dyDescent="0.25">
      <c r="A3859" s="73"/>
      <c r="B3859" s="73"/>
    </row>
    <row r="3860" spans="1:2" x14ac:dyDescent="0.25">
      <c r="A3860" s="73"/>
      <c r="B3860" s="73"/>
    </row>
    <row r="3861" spans="1:2" x14ac:dyDescent="0.25">
      <c r="A3861" s="73"/>
      <c r="B3861" s="73"/>
    </row>
    <row r="3862" spans="1:2" x14ac:dyDescent="0.25">
      <c r="A3862" s="73"/>
      <c r="B3862" s="73"/>
    </row>
    <row r="3863" spans="1:2" x14ac:dyDescent="0.25">
      <c r="A3863" s="73"/>
      <c r="B3863" s="73"/>
    </row>
    <row r="3864" spans="1:2" x14ac:dyDescent="0.25">
      <c r="A3864" s="73"/>
      <c r="B3864" s="73"/>
    </row>
    <row r="3865" spans="1:2" x14ac:dyDescent="0.25">
      <c r="A3865" s="73"/>
      <c r="B3865" s="73"/>
    </row>
    <row r="3866" spans="1:2" x14ac:dyDescent="0.25">
      <c r="A3866" s="73"/>
      <c r="B3866" s="73"/>
    </row>
    <row r="3867" spans="1:2" x14ac:dyDescent="0.25">
      <c r="A3867" s="73"/>
      <c r="B3867" s="73"/>
    </row>
    <row r="3868" spans="1:2" x14ac:dyDescent="0.25">
      <c r="A3868" s="73"/>
      <c r="B3868" s="73"/>
    </row>
    <row r="3869" spans="1:2" x14ac:dyDescent="0.25">
      <c r="A3869" s="73"/>
      <c r="B3869" s="73"/>
    </row>
    <row r="3870" spans="1:2" x14ac:dyDescent="0.25">
      <c r="A3870" s="73"/>
      <c r="B3870" s="73"/>
    </row>
    <row r="3871" spans="1:2" x14ac:dyDescent="0.25">
      <c r="A3871" s="73"/>
      <c r="B3871" s="73"/>
    </row>
    <row r="3872" spans="1:2" x14ac:dyDescent="0.25">
      <c r="A3872" s="73"/>
      <c r="B3872" s="73"/>
    </row>
    <row r="3873" spans="1:2" x14ac:dyDescent="0.25">
      <c r="A3873" s="73"/>
      <c r="B3873" s="73"/>
    </row>
    <row r="3874" spans="1:2" x14ac:dyDescent="0.25">
      <c r="A3874" s="73"/>
      <c r="B3874" s="73"/>
    </row>
    <row r="3875" spans="1:2" x14ac:dyDescent="0.25">
      <c r="A3875" s="73"/>
      <c r="B3875" s="73"/>
    </row>
    <row r="3876" spans="1:2" x14ac:dyDescent="0.25">
      <c r="A3876" s="73"/>
      <c r="B3876" s="73"/>
    </row>
    <row r="3877" spans="1:2" x14ac:dyDescent="0.25">
      <c r="A3877" s="73"/>
      <c r="B3877" s="73"/>
    </row>
    <row r="3878" spans="1:2" x14ac:dyDescent="0.25">
      <c r="A3878" s="73"/>
      <c r="B3878" s="73"/>
    </row>
    <row r="3879" spans="1:2" x14ac:dyDescent="0.25">
      <c r="A3879" s="73"/>
      <c r="B3879" s="73"/>
    </row>
    <row r="3880" spans="1:2" x14ac:dyDescent="0.25">
      <c r="A3880" s="73"/>
      <c r="B3880" s="73"/>
    </row>
    <row r="3881" spans="1:2" x14ac:dyDescent="0.25">
      <c r="A3881" s="73"/>
      <c r="B3881" s="73"/>
    </row>
    <row r="3882" spans="1:2" x14ac:dyDescent="0.25">
      <c r="A3882" s="73"/>
      <c r="B3882" s="73"/>
    </row>
    <row r="3883" spans="1:2" x14ac:dyDescent="0.25">
      <c r="A3883" s="73"/>
      <c r="B3883" s="73"/>
    </row>
    <row r="3884" spans="1:2" x14ac:dyDescent="0.25">
      <c r="A3884" s="73"/>
      <c r="B3884" s="73"/>
    </row>
    <row r="3885" spans="1:2" x14ac:dyDescent="0.25">
      <c r="A3885" s="73"/>
      <c r="B3885" s="73"/>
    </row>
    <row r="3886" spans="1:2" x14ac:dyDescent="0.25">
      <c r="A3886" s="73"/>
      <c r="B3886" s="73"/>
    </row>
    <row r="3887" spans="1:2" x14ac:dyDescent="0.25">
      <c r="A3887" s="73"/>
      <c r="B3887" s="73"/>
    </row>
    <row r="3888" spans="1:2" x14ac:dyDescent="0.25">
      <c r="A3888" s="73"/>
      <c r="B3888" s="73"/>
    </row>
    <row r="3889" spans="1:2" x14ac:dyDescent="0.25">
      <c r="A3889" s="73"/>
      <c r="B3889" s="73"/>
    </row>
    <row r="3890" spans="1:2" x14ac:dyDescent="0.25">
      <c r="A3890" s="73"/>
      <c r="B3890" s="73"/>
    </row>
    <row r="3891" spans="1:2" x14ac:dyDescent="0.25">
      <c r="A3891" s="73"/>
      <c r="B3891" s="73"/>
    </row>
    <row r="3892" spans="1:2" x14ac:dyDescent="0.25">
      <c r="A3892" s="73"/>
      <c r="B3892" s="73"/>
    </row>
    <row r="3893" spans="1:2" x14ac:dyDescent="0.25">
      <c r="A3893" s="73"/>
      <c r="B3893" s="73"/>
    </row>
    <row r="3894" spans="1:2" x14ac:dyDescent="0.25">
      <c r="A3894" s="73"/>
      <c r="B3894" s="73"/>
    </row>
    <row r="3895" spans="1:2" x14ac:dyDescent="0.25">
      <c r="A3895" s="73"/>
      <c r="B3895" s="73"/>
    </row>
    <row r="3896" spans="1:2" x14ac:dyDescent="0.25">
      <c r="A3896" s="73"/>
      <c r="B3896" s="73"/>
    </row>
    <row r="3897" spans="1:2" x14ac:dyDescent="0.25">
      <c r="A3897" s="73"/>
      <c r="B3897" s="73"/>
    </row>
    <row r="3898" spans="1:2" x14ac:dyDescent="0.25">
      <c r="A3898" s="73"/>
      <c r="B3898" s="73"/>
    </row>
    <row r="3899" spans="1:2" x14ac:dyDescent="0.25">
      <c r="A3899" s="73"/>
      <c r="B3899" s="73"/>
    </row>
    <row r="3900" spans="1:2" x14ac:dyDescent="0.25">
      <c r="A3900" s="73"/>
      <c r="B3900" s="73"/>
    </row>
    <row r="3901" spans="1:2" x14ac:dyDescent="0.25">
      <c r="A3901" s="73"/>
      <c r="B3901" s="73"/>
    </row>
    <row r="3902" spans="1:2" x14ac:dyDescent="0.25">
      <c r="A3902" s="73"/>
      <c r="B3902" s="73"/>
    </row>
    <row r="3903" spans="1:2" x14ac:dyDescent="0.25">
      <c r="A3903" s="73"/>
      <c r="B3903" s="73"/>
    </row>
    <row r="3904" spans="1:2" x14ac:dyDescent="0.25">
      <c r="A3904" s="73"/>
      <c r="B3904" s="73"/>
    </row>
    <row r="3905" spans="1:2" x14ac:dyDescent="0.25">
      <c r="A3905" s="73"/>
      <c r="B3905" s="73"/>
    </row>
    <row r="3906" spans="1:2" x14ac:dyDescent="0.25">
      <c r="A3906" s="73"/>
      <c r="B3906" s="73"/>
    </row>
    <row r="3907" spans="1:2" x14ac:dyDescent="0.25">
      <c r="A3907" s="73"/>
      <c r="B3907" s="73"/>
    </row>
    <row r="3908" spans="1:2" x14ac:dyDescent="0.25">
      <c r="A3908" s="73"/>
      <c r="B3908" s="73"/>
    </row>
    <row r="3909" spans="1:2" x14ac:dyDescent="0.25">
      <c r="A3909" s="73"/>
      <c r="B3909" s="73"/>
    </row>
    <row r="3910" spans="1:2" x14ac:dyDescent="0.25">
      <c r="A3910" s="73"/>
      <c r="B3910" s="73"/>
    </row>
    <row r="3911" spans="1:2" x14ac:dyDescent="0.25">
      <c r="A3911" s="73"/>
      <c r="B3911" s="73"/>
    </row>
    <row r="3912" spans="1:2" x14ac:dyDescent="0.25">
      <c r="A3912" s="73"/>
      <c r="B3912" s="73"/>
    </row>
    <row r="3913" spans="1:2" x14ac:dyDescent="0.25">
      <c r="A3913" s="73"/>
      <c r="B3913" s="73"/>
    </row>
    <row r="3914" spans="1:2" x14ac:dyDescent="0.25">
      <c r="A3914" s="73"/>
      <c r="B3914" s="73"/>
    </row>
    <row r="3915" spans="1:2" x14ac:dyDescent="0.25">
      <c r="A3915" s="73"/>
      <c r="B3915" s="73"/>
    </row>
    <row r="3916" spans="1:2" x14ac:dyDescent="0.25">
      <c r="A3916" s="73"/>
      <c r="B3916" s="73"/>
    </row>
    <row r="3917" spans="1:2" x14ac:dyDescent="0.25">
      <c r="A3917" s="73"/>
      <c r="B3917" s="73"/>
    </row>
    <row r="3918" spans="1:2" x14ac:dyDescent="0.25">
      <c r="A3918" s="73"/>
      <c r="B3918" s="73"/>
    </row>
    <row r="3919" spans="1:2" x14ac:dyDescent="0.25">
      <c r="A3919" s="73"/>
      <c r="B3919" s="73"/>
    </row>
    <row r="3920" spans="1:2" x14ac:dyDescent="0.25">
      <c r="A3920" s="73"/>
      <c r="B3920" s="73"/>
    </row>
    <row r="3921" spans="1:2" x14ac:dyDescent="0.25">
      <c r="A3921" s="73"/>
      <c r="B3921" s="73"/>
    </row>
    <row r="3922" spans="1:2" x14ac:dyDescent="0.25">
      <c r="A3922" s="73"/>
      <c r="B3922" s="73"/>
    </row>
    <row r="3923" spans="1:2" x14ac:dyDescent="0.25">
      <c r="A3923" s="73"/>
      <c r="B3923" s="73"/>
    </row>
    <row r="3924" spans="1:2" x14ac:dyDescent="0.25">
      <c r="A3924" s="73"/>
      <c r="B3924" s="73"/>
    </row>
    <row r="3925" spans="1:2" x14ac:dyDescent="0.25">
      <c r="A3925" s="73"/>
      <c r="B3925" s="73"/>
    </row>
    <row r="3926" spans="1:2" x14ac:dyDescent="0.25">
      <c r="A3926" s="73"/>
      <c r="B3926" s="73"/>
    </row>
    <row r="3927" spans="1:2" x14ac:dyDescent="0.25">
      <c r="A3927" s="73"/>
      <c r="B3927" s="73"/>
    </row>
    <row r="3928" spans="1:2" x14ac:dyDescent="0.25">
      <c r="A3928" s="73"/>
      <c r="B3928" s="73"/>
    </row>
    <row r="3929" spans="1:2" x14ac:dyDescent="0.25">
      <c r="A3929" s="73"/>
      <c r="B3929" s="73"/>
    </row>
    <row r="3930" spans="1:2" x14ac:dyDescent="0.25">
      <c r="A3930" s="73"/>
      <c r="B3930" s="73"/>
    </row>
    <row r="3931" spans="1:2" x14ac:dyDescent="0.25">
      <c r="A3931" s="73"/>
      <c r="B3931" s="73"/>
    </row>
    <row r="3932" spans="1:2" x14ac:dyDescent="0.25">
      <c r="A3932" s="73"/>
      <c r="B3932" s="73"/>
    </row>
    <row r="3933" spans="1:2" x14ac:dyDescent="0.25">
      <c r="A3933" s="73"/>
      <c r="B3933" s="73"/>
    </row>
    <row r="3934" spans="1:2" x14ac:dyDescent="0.25">
      <c r="A3934" s="73"/>
      <c r="B3934" s="73"/>
    </row>
    <row r="3935" spans="1:2" x14ac:dyDescent="0.25">
      <c r="A3935" s="73"/>
      <c r="B3935" s="73"/>
    </row>
    <row r="3936" spans="1:2" x14ac:dyDescent="0.25">
      <c r="A3936" s="73"/>
      <c r="B3936" s="73"/>
    </row>
    <row r="3937" spans="1:2" x14ac:dyDescent="0.25">
      <c r="A3937" s="73"/>
      <c r="B3937" s="73"/>
    </row>
    <row r="3938" spans="1:2" x14ac:dyDescent="0.25">
      <c r="A3938" s="73"/>
      <c r="B3938" s="73"/>
    </row>
    <row r="3939" spans="1:2" x14ac:dyDescent="0.25">
      <c r="A3939" s="73"/>
      <c r="B3939" s="73"/>
    </row>
    <row r="3940" spans="1:2" x14ac:dyDescent="0.25">
      <c r="A3940" s="73"/>
      <c r="B3940" s="73"/>
    </row>
    <row r="3941" spans="1:2" x14ac:dyDescent="0.25">
      <c r="A3941" s="73"/>
      <c r="B3941" s="73"/>
    </row>
    <row r="3942" spans="1:2" x14ac:dyDescent="0.25">
      <c r="A3942" s="73"/>
      <c r="B3942" s="73"/>
    </row>
    <row r="3943" spans="1:2" x14ac:dyDescent="0.25">
      <c r="A3943" s="73"/>
      <c r="B3943" s="73"/>
    </row>
    <row r="3944" spans="1:2" x14ac:dyDescent="0.25">
      <c r="A3944" s="73"/>
      <c r="B3944" s="73"/>
    </row>
    <row r="3945" spans="1:2" x14ac:dyDescent="0.25">
      <c r="A3945" s="73"/>
      <c r="B3945" s="73"/>
    </row>
    <row r="3946" spans="1:2" x14ac:dyDescent="0.25">
      <c r="A3946" s="73"/>
      <c r="B3946" s="73"/>
    </row>
    <row r="3947" spans="1:2" x14ac:dyDescent="0.25">
      <c r="A3947" s="73"/>
      <c r="B3947" s="73"/>
    </row>
    <row r="3948" spans="1:2" x14ac:dyDescent="0.25">
      <c r="A3948" s="73"/>
      <c r="B3948" s="73"/>
    </row>
    <row r="3949" spans="1:2" x14ac:dyDescent="0.25">
      <c r="A3949" s="73"/>
      <c r="B3949" s="73"/>
    </row>
    <row r="3950" spans="1:2" x14ac:dyDescent="0.25">
      <c r="A3950" s="73"/>
      <c r="B3950" s="73"/>
    </row>
    <row r="3951" spans="1:2" x14ac:dyDescent="0.25">
      <c r="A3951" s="73"/>
      <c r="B3951" s="73"/>
    </row>
    <row r="3952" spans="1:2" x14ac:dyDescent="0.25">
      <c r="A3952" s="73"/>
      <c r="B3952" s="73"/>
    </row>
    <row r="3953" spans="1:2" x14ac:dyDescent="0.25">
      <c r="A3953" s="73"/>
      <c r="B3953" s="73"/>
    </row>
    <row r="3954" spans="1:2" x14ac:dyDescent="0.25">
      <c r="A3954" s="73"/>
      <c r="B3954" s="73"/>
    </row>
    <row r="3955" spans="1:2" x14ac:dyDescent="0.25">
      <c r="A3955" s="73"/>
      <c r="B3955" s="73"/>
    </row>
    <row r="3956" spans="1:2" x14ac:dyDescent="0.25">
      <c r="A3956" s="73"/>
      <c r="B3956" s="73"/>
    </row>
    <row r="3957" spans="1:2" x14ac:dyDescent="0.25">
      <c r="A3957" s="73"/>
      <c r="B3957" s="73"/>
    </row>
    <row r="3958" spans="1:2" x14ac:dyDescent="0.25">
      <c r="A3958" s="73"/>
      <c r="B3958" s="73"/>
    </row>
    <row r="3959" spans="1:2" x14ac:dyDescent="0.25">
      <c r="A3959" s="73"/>
      <c r="B3959" s="73"/>
    </row>
    <row r="3960" spans="1:2" x14ac:dyDescent="0.25">
      <c r="A3960" s="73"/>
      <c r="B3960" s="73"/>
    </row>
    <row r="3961" spans="1:2" x14ac:dyDescent="0.25">
      <c r="A3961" s="73"/>
      <c r="B3961" s="73"/>
    </row>
    <row r="3962" spans="1:2" x14ac:dyDescent="0.25">
      <c r="A3962" s="73"/>
      <c r="B3962" s="73"/>
    </row>
    <row r="3963" spans="1:2" x14ac:dyDescent="0.25">
      <c r="A3963" s="73"/>
      <c r="B3963" s="73"/>
    </row>
    <row r="3964" spans="1:2" x14ac:dyDescent="0.25">
      <c r="A3964" s="73"/>
      <c r="B3964" s="73"/>
    </row>
    <row r="3965" spans="1:2" x14ac:dyDescent="0.25">
      <c r="A3965" s="73"/>
      <c r="B3965" s="73"/>
    </row>
    <row r="3966" spans="1:2" x14ac:dyDescent="0.25">
      <c r="A3966" s="73"/>
      <c r="B3966" s="73"/>
    </row>
    <row r="3967" spans="1:2" x14ac:dyDescent="0.25">
      <c r="A3967" s="73"/>
      <c r="B3967" s="73"/>
    </row>
    <row r="3968" spans="1:2" x14ac:dyDescent="0.25">
      <c r="A3968" s="73"/>
      <c r="B3968" s="73"/>
    </row>
    <row r="3969" spans="1:2" x14ac:dyDescent="0.25">
      <c r="A3969" s="73"/>
      <c r="B3969" s="73"/>
    </row>
    <row r="3970" spans="1:2" x14ac:dyDescent="0.25">
      <c r="A3970" s="73"/>
      <c r="B3970" s="73"/>
    </row>
    <row r="3971" spans="1:2" x14ac:dyDescent="0.25">
      <c r="A3971" s="73"/>
      <c r="B3971" s="73"/>
    </row>
    <row r="3972" spans="1:2" x14ac:dyDescent="0.25">
      <c r="A3972" s="73"/>
      <c r="B3972" s="73"/>
    </row>
    <row r="3973" spans="1:2" x14ac:dyDescent="0.25">
      <c r="A3973" s="73"/>
      <c r="B3973" s="73"/>
    </row>
    <row r="3974" spans="1:2" x14ac:dyDescent="0.25">
      <c r="A3974" s="73"/>
      <c r="B3974" s="73"/>
    </row>
    <row r="3975" spans="1:2" x14ac:dyDescent="0.25">
      <c r="A3975" s="73"/>
      <c r="B3975" s="73"/>
    </row>
    <row r="3976" spans="1:2" x14ac:dyDescent="0.25">
      <c r="A3976" s="73"/>
      <c r="B3976" s="73"/>
    </row>
    <row r="3977" spans="1:2" x14ac:dyDescent="0.25">
      <c r="A3977" s="73"/>
      <c r="B3977" s="73"/>
    </row>
    <row r="3978" spans="1:2" x14ac:dyDescent="0.25">
      <c r="A3978" s="73"/>
      <c r="B3978" s="73"/>
    </row>
    <row r="3979" spans="1:2" x14ac:dyDescent="0.25">
      <c r="A3979" s="73"/>
      <c r="B3979" s="73"/>
    </row>
    <row r="3980" spans="1:2" x14ac:dyDescent="0.25">
      <c r="A3980" s="73"/>
      <c r="B3980" s="73"/>
    </row>
    <row r="3981" spans="1:2" x14ac:dyDescent="0.25">
      <c r="A3981" s="73"/>
      <c r="B3981" s="73"/>
    </row>
    <row r="3982" spans="1:2" x14ac:dyDescent="0.25">
      <c r="A3982" s="73"/>
      <c r="B3982" s="73"/>
    </row>
    <row r="3983" spans="1:2" x14ac:dyDescent="0.25">
      <c r="A3983" s="73"/>
      <c r="B3983" s="73"/>
    </row>
    <row r="3984" spans="1:2" x14ac:dyDescent="0.25">
      <c r="A3984" s="73"/>
      <c r="B3984" s="73"/>
    </row>
    <row r="3985" spans="1:2" x14ac:dyDescent="0.25">
      <c r="A3985" s="73"/>
      <c r="B3985" s="73"/>
    </row>
    <row r="3986" spans="1:2" x14ac:dyDescent="0.25">
      <c r="A3986" s="73"/>
      <c r="B3986" s="73"/>
    </row>
    <row r="3987" spans="1:2" x14ac:dyDescent="0.25">
      <c r="A3987" s="73"/>
      <c r="B3987" s="73"/>
    </row>
    <row r="3988" spans="1:2" x14ac:dyDescent="0.25">
      <c r="A3988" s="73"/>
      <c r="B3988" s="73"/>
    </row>
    <row r="3989" spans="1:2" x14ac:dyDescent="0.25">
      <c r="A3989" s="73"/>
      <c r="B3989" s="73"/>
    </row>
    <row r="3990" spans="1:2" x14ac:dyDescent="0.25">
      <c r="A3990" s="73"/>
      <c r="B3990" s="73"/>
    </row>
    <row r="3991" spans="1:2" x14ac:dyDescent="0.25">
      <c r="A3991" s="73"/>
      <c r="B3991" s="73"/>
    </row>
    <row r="3992" spans="1:2" x14ac:dyDescent="0.25">
      <c r="A3992" s="73"/>
      <c r="B3992" s="73"/>
    </row>
    <row r="3993" spans="1:2" x14ac:dyDescent="0.25">
      <c r="A3993" s="73"/>
      <c r="B3993" s="73"/>
    </row>
    <row r="3994" spans="1:2" x14ac:dyDescent="0.25">
      <c r="A3994" s="73"/>
      <c r="B3994" s="73"/>
    </row>
    <row r="3995" spans="1:2" x14ac:dyDescent="0.25">
      <c r="A3995" s="73"/>
      <c r="B3995" s="73"/>
    </row>
    <row r="3996" spans="1:2" x14ac:dyDescent="0.25">
      <c r="A3996" s="73"/>
      <c r="B3996" s="73"/>
    </row>
    <row r="3997" spans="1:2" x14ac:dyDescent="0.25">
      <c r="A3997" s="73"/>
      <c r="B3997" s="73"/>
    </row>
    <row r="3998" spans="1:2" x14ac:dyDescent="0.25">
      <c r="A3998" s="73"/>
      <c r="B3998" s="73"/>
    </row>
    <row r="3999" spans="1:2" x14ac:dyDescent="0.25">
      <c r="A3999" s="73"/>
      <c r="B3999" s="73"/>
    </row>
    <row r="4000" spans="1:2" x14ac:dyDescent="0.25">
      <c r="A4000" s="73"/>
      <c r="B4000" s="73"/>
    </row>
    <row r="4001" spans="1:2" x14ac:dyDescent="0.25">
      <c r="A4001" s="73"/>
      <c r="B4001" s="73"/>
    </row>
    <row r="4002" spans="1:2" x14ac:dyDescent="0.25">
      <c r="A4002" s="73"/>
      <c r="B4002" s="73"/>
    </row>
    <row r="4003" spans="1:2" x14ac:dyDescent="0.25">
      <c r="A4003" s="73"/>
      <c r="B4003" s="73"/>
    </row>
    <row r="4004" spans="1:2" x14ac:dyDescent="0.25">
      <c r="A4004" s="73"/>
      <c r="B4004" s="73"/>
    </row>
    <row r="4005" spans="1:2" x14ac:dyDescent="0.25">
      <c r="A4005" s="73"/>
      <c r="B4005" s="73"/>
    </row>
    <row r="4006" spans="1:2" x14ac:dyDescent="0.25">
      <c r="A4006" s="73"/>
      <c r="B4006" s="73"/>
    </row>
    <row r="4007" spans="1:2" x14ac:dyDescent="0.25">
      <c r="A4007" s="73"/>
      <c r="B4007" s="73"/>
    </row>
    <row r="4008" spans="1:2" x14ac:dyDescent="0.25">
      <c r="A4008" s="73"/>
      <c r="B4008" s="73"/>
    </row>
    <row r="4009" spans="1:2" x14ac:dyDescent="0.25">
      <c r="A4009" s="73"/>
      <c r="B4009" s="73"/>
    </row>
    <row r="4010" spans="1:2" x14ac:dyDescent="0.25">
      <c r="A4010" s="73"/>
      <c r="B4010" s="73"/>
    </row>
    <row r="4011" spans="1:2" x14ac:dyDescent="0.25">
      <c r="A4011" s="73"/>
      <c r="B4011" s="73"/>
    </row>
    <row r="4012" spans="1:2" x14ac:dyDescent="0.25">
      <c r="A4012" s="73"/>
      <c r="B4012" s="73"/>
    </row>
    <row r="4013" spans="1:2" x14ac:dyDescent="0.25">
      <c r="A4013" s="73"/>
      <c r="B4013" s="73"/>
    </row>
    <row r="4014" spans="1:2" x14ac:dyDescent="0.25">
      <c r="A4014" s="73"/>
      <c r="B4014" s="73"/>
    </row>
    <row r="4015" spans="1:2" x14ac:dyDescent="0.25">
      <c r="A4015" s="73"/>
      <c r="B4015" s="73"/>
    </row>
    <row r="4016" spans="1:2" x14ac:dyDescent="0.25">
      <c r="A4016" s="73"/>
      <c r="B4016" s="73"/>
    </row>
    <row r="4017" spans="1:2" x14ac:dyDescent="0.25">
      <c r="A4017" s="73"/>
      <c r="B4017" s="73"/>
    </row>
    <row r="4018" spans="1:2" x14ac:dyDescent="0.25">
      <c r="A4018" s="73"/>
      <c r="B4018" s="73"/>
    </row>
    <row r="4019" spans="1:2" x14ac:dyDescent="0.25">
      <c r="A4019" s="73"/>
      <c r="B4019" s="73"/>
    </row>
    <row r="4020" spans="1:2" x14ac:dyDescent="0.25">
      <c r="A4020" s="73"/>
      <c r="B4020" s="73"/>
    </row>
    <row r="4021" spans="1:2" x14ac:dyDescent="0.25">
      <c r="A4021" s="73"/>
      <c r="B4021" s="73"/>
    </row>
    <row r="4022" spans="1:2" x14ac:dyDescent="0.25">
      <c r="A4022" s="73"/>
      <c r="B4022" s="73"/>
    </row>
    <row r="4023" spans="1:2" x14ac:dyDescent="0.25">
      <c r="A4023" s="73"/>
      <c r="B4023" s="73"/>
    </row>
    <row r="4024" spans="1:2" x14ac:dyDescent="0.25">
      <c r="A4024" s="73"/>
      <c r="B4024" s="73"/>
    </row>
    <row r="4025" spans="1:2" x14ac:dyDescent="0.25">
      <c r="A4025" s="73"/>
      <c r="B4025" s="73"/>
    </row>
    <row r="4026" spans="1:2" x14ac:dyDescent="0.25">
      <c r="A4026" s="73"/>
      <c r="B4026" s="73"/>
    </row>
    <row r="4027" spans="1:2" x14ac:dyDescent="0.25">
      <c r="A4027" s="73"/>
      <c r="B4027" s="73"/>
    </row>
    <row r="4028" spans="1:2" x14ac:dyDescent="0.25">
      <c r="A4028" s="73"/>
      <c r="B4028" s="73"/>
    </row>
    <row r="4029" spans="1:2" x14ac:dyDescent="0.25">
      <c r="A4029" s="73"/>
      <c r="B4029" s="73"/>
    </row>
    <row r="4030" spans="1:2" x14ac:dyDescent="0.25">
      <c r="A4030" s="73"/>
      <c r="B4030" s="73"/>
    </row>
    <row r="4031" spans="1:2" x14ac:dyDescent="0.25">
      <c r="A4031" s="73"/>
      <c r="B4031" s="73"/>
    </row>
    <row r="4032" spans="1:2" x14ac:dyDescent="0.25">
      <c r="A4032" s="73"/>
      <c r="B4032" s="73"/>
    </row>
    <row r="4033" spans="1:2" x14ac:dyDescent="0.25">
      <c r="A4033" s="73"/>
      <c r="B4033" s="73"/>
    </row>
    <row r="4034" spans="1:2" x14ac:dyDescent="0.25">
      <c r="A4034" s="73"/>
      <c r="B4034" s="73"/>
    </row>
    <row r="4035" spans="1:2" x14ac:dyDescent="0.25">
      <c r="A4035" s="73"/>
      <c r="B4035" s="73"/>
    </row>
    <row r="4036" spans="1:2" x14ac:dyDescent="0.25">
      <c r="A4036" s="73"/>
      <c r="B4036" s="73"/>
    </row>
    <row r="4037" spans="1:2" x14ac:dyDescent="0.25">
      <c r="A4037" s="73"/>
      <c r="B4037" s="73"/>
    </row>
    <row r="4038" spans="1:2" x14ac:dyDescent="0.25">
      <c r="A4038" s="73"/>
      <c r="B4038" s="73"/>
    </row>
    <row r="4039" spans="1:2" x14ac:dyDescent="0.25">
      <c r="A4039" s="73"/>
      <c r="B4039" s="73"/>
    </row>
    <row r="4040" spans="1:2" x14ac:dyDescent="0.25">
      <c r="A4040" s="73"/>
      <c r="B4040" s="73"/>
    </row>
    <row r="4041" spans="1:2" x14ac:dyDescent="0.25">
      <c r="A4041" s="73"/>
      <c r="B4041" s="73"/>
    </row>
    <row r="4042" spans="1:2" x14ac:dyDescent="0.25">
      <c r="A4042" s="73"/>
      <c r="B4042" s="73"/>
    </row>
    <row r="4043" spans="1:2" x14ac:dyDescent="0.25">
      <c r="A4043" s="73"/>
      <c r="B4043" s="73"/>
    </row>
    <row r="4044" spans="1:2" x14ac:dyDescent="0.25">
      <c r="A4044" s="73"/>
      <c r="B4044" s="73"/>
    </row>
    <row r="4045" spans="1:2" x14ac:dyDescent="0.25">
      <c r="A4045" s="73"/>
      <c r="B4045" s="73"/>
    </row>
    <row r="4046" spans="1:2" x14ac:dyDescent="0.25">
      <c r="A4046" s="73"/>
      <c r="B4046" s="73"/>
    </row>
    <row r="4047" spans="1:2" x14ac:dyDescent="0.25">
      <c r="A4047" s="73"/>
      <c r="B4047" s="73"/>
    </row>
    <row r="4048" spans="1:2" x14ac:dyDescent="0.25">
      <c r="A4048" s="73"/>
      <c r="B4048" s="73"/>
    </row>
    <row r="4049" spans="1:2" x14ac:dyDescent="0.25">
      <c r="A4049" s="73"/>
      <c r="B4049" s="73"/>
    </row>
    <row r="4050" spans="1:2" x14ac:dyDescent="0.25">
      <c r="A4050" s="73"/>
      <c r="B4050" s="73"/>
    </row>
    <row r="4051" spans="1:2" x14ac:dyDescent="0.25">
      <c r="A4051" s="73"/>
      <c r="B4051" s="73"/>
    </row>
    <row r="4052" spans="1:2" x14ac:dyDescent="0.25">
      <c r="A4052" s="73"/>
      <c r="B4052" s="73"/>
    </row>
    <row r="4053" spans="1:2" x14ac:dyDescent="0.25">
      <c r="A4053" s="73"/>
      <c r="B4053" s="73"/>
    </row>
    <row r="4054" spans="1:2" x14ac:dyDescent="0.25">
      <c r="A4054" s="73"/>
      <c r="B4054" s="73"/>
    </row>
    <row r="4055" spans="1:2" x14ac:dyDescent="0.25">
      <c r="A4055" s="73"/>
      <c r="B4055" s="73"/>
    </row>
    <row r="4056" spans="1:2" x14ac:dyDescent="0.25">
      <c r="A4056" s="73"/>
      <c r="B4056" s="73"/>
    </row>
    <row r="4057" spans="1:2" x14ac:dyDescent="0.25">
      <c r="A4057" s="73"/>
      <c r="B4057" s="73"/>
    </row>
    <row r="4058" spans="1:2" x14ac:dyDescent="0.25">
      <c r="A4058" s="73"/>
      <c r="B4058" s="73"/>
    </row>
    <row r="4059" spans="1:2" x14ac:dyDescent="0.25">
      <c r="A4059" s="73"/>
      <c r="B4059" s="73"/>
    </row>
    <row r="4060" spans="1:2" x14ac:dyDescent="0.25">
      <c r="A4060" s="73"/>
      <c r="B4060" s="73"/>
    </row>
    <row r="4061" spans="1:2" x14ac:dyDescent="0.25">
      <c r="A4061" s="73"/>
      <c r="B4061" s="73"/>
    </row>
    <row r="4062" spans="1:2" x14ac:dyDescent="0.25">
      <c r="A4062" s="73"/>
      <c r="B4062" s="73"/>
    </row>
    <row r="4063" spans="1:2" x14ac:dyDescent="0.25">
      <c r="A4063" s="73"/>
      <c r="B4063" s="73"/>
    </row>
    <row r="4064" spans="1:2" x14ac:dyDescent="0.25">
      <c r="A4064" s="73"/>
      <c r="B4064" s="73"/>
    </row>
    <row r="4065" spans="1:2" x14ac:dyDescent="0.25">
      <c r="A4065" s="73"/>
      <c r="B4065" s="73"/>
    </row>
    <row r="4066" spans="1:2" x14ac:dyDescent="0.25">
      <c r="A4066" s="73"/>
      <c r="B4066" s="73"/>
    </row>
    <row r="4067" spans="1:2" x14ac:dyDescent="0.25">
      <c r="A4067" s="73"/>
      <c r="B4067" s="73"/>
    </row>
    <row r="4068" spans="1:2" x14ac:dyDescent="0.25">
      <c r="A4068" s="73"/>
      <c r="B4068" s="73"/>
    </row>
    <row r="4069" spans="1:2" x14ac:dyDescent="0.25">
      <c r="A4069" s="73"/>
      <c r="B4069" s="73"/>
    </row>
    <row r="4070" spans="1:2" x14ac:dyDescent="0.25">
      <c r="A4070" s="73"/>
      <c r="B4070" s="73"/>
    </row>
    <row r="4071" spans="1:2" x14ac:dyDescent="0.25">
      <c r="A4071" s="73"/>
      <c r="B4071" s="73"/>
    </row>
    <row r="4072" spans="1:2" x14ac:dyDescent="0.25">
      <c r="A4072" s="73"/>
      <c r="B4072" s="73"/>
    </row>
    <row r="4073" spans="1:2" x14ac:dyDescent="0.25">
      <c r="A4073" s="73"/>
      <c r="B4073" s="73"/>
    </row>
    <row r="4074" spans="1:2" x14ac:dyDescent="0.25">
      <c r="A4074" s="73"/>
      <c r="B4074" s="73"/>
    </row>
    <row r="4075" spans="1:2" x14ac:dyDescent="0.25">
      <c r="A4075" s="73"/>
      <c r="B4075" s="73"/>
    </row>
    <row r="4076" spans="1:2" x14ac:dyDescent="0.25">
      <c r="A4076" s="73"/>
      <c r="B4076" s="73"/>
    </row>
    <row r="4077" spans="1:2" x14ac:dyDescent="0.25">
      <c r="A4077" s="73"/>
      <c r="B4077" s="73"/>
    </row>
    <row r="4078" spans="1:2" x14ac:dyDescent="0.25">
      <c r="A4078" s="73"/>
      <c r="B4078" s="73"/>
    </row>
    <row r="4079" spans="1:2" x14ac:dyDescent="0.25">
      <c r="A4079" s="73"/>
      <c r="B4079" s="73"/>
    </row>
    <row r="4080" spans="1:2" x14ac:dyDescent="0.25">
      <c r="A4080" s="73"/>
      <c r="B4080" s="73"/>
    </row>
    <row r="4081" spans="1:2" x14ac:dyDescent="0.25">
      <c r="A4081" s="73"/>
      <c r="B4081" s="73"/>
    </row>
    <row r="4082" spans="1:2" x14ac:dyDescent="0.25">
      <c r="A4082" s="73"/>
      <c r="B4082" s="73"/>
    </row>
    <row r="4083" spans="1:2" x14ac:dyDescent="0.25">
      <c r="A4083" s="73"/>
      <c r="B4083" s="73"/>
    </row>
    <row r="4084" spans="1:2" x14ac:dyDescent="0.25">
      <c r="A4084" s="73"/>
      <c r="B4084" s="73"/>
    </row>
    <row r="4085" spans="1:2" x14ac:dyDescent="0.25">
      <c r="A4085" s="73"/>
      <c r="B4085" s="73"/>
    </row>
    <row r="4086" spans="1:2" x14ac:dyDescent="0.25">
      <c r="A4086" s="73"/>
      <c r="B4086" s="73"/>
    </row>
    <row r="4087" spans="1:2" x14ac:dyDescent="0.25">
      <c r="A4087" s="73"/>
      <c r="B4087" s="73"/>
    </row>
    <row r="4088" spans="1:2" x14ac:dyDescent="0.25">
      <c r="A4088" s="73"/>
      <c r="B4088" s="73"/>
    </row>
    <row r="4089" spans="1:2" x14ac:dyDescent="0.25">
      <c r="A4089" s="73"/>
      <c r="B4089" s="73"/>
    </row>
    <row r="4090" spans="1:2" x14ac:dyDescent="0.25">
      <c r="A4090" s="73"/>
      <c r="B4090" s="73"/>
    </row>
    <row r="4091" spans="1:2" x14ac:dyDescent="0.25">
      <c r="A4091" s="73"/>
      <c r="B4091" s="73"/>
    </row>
    <row r="4092" spans="1:2" x14ac:dyDescent="0.25">
      <c r="A4092" s="73"/>
      <c r="B4092" s="73"/>
    </row>
    <row r="4093" spans="1:2" x14ac:dyDescent="0.25">
      <c r="A4093" s="73"/>
      <c r="B4093" s="73"/>
    </row>
    <row r="4094" spans="1:2" x14ac:dyDescent="0.25">
      <c r="A4094" s="73"/>
      <c r="B4094" s="73"/>
    </row>
    <row r="4095" spans="1:2" x14ac:dyDescent="0.25">
      <c r="A4095" s="73"/>
      <c r="B4095" s="73"/>
    </row>
    <row r="4096" spans="1:2" x14ac:dyDescent="0.25">
      <c r="A4096" s="73"/>
      <c r="B4096" s="73"/>
    </row>
    <row r="4097" spans="1:2" x14ac:dyDescent="0.25">
      <c r="A4097" s="73"/>
      <c r="B4097" s="73"/>
    </row>
    <row r="4098" spans="1:2" x14ac:dyDescent="0.25">
      <c r="A4098" s="73"/>
      <c r="B4098" s="73"/>
    </row>
    <row r="4099" spans="1:2" x14ac:dyDescent="0.25">
      <c r="A4099" s="73"/>
      <c r="B4099" s="73"/>
    </row>
    <row r="4100" spans="1:2" x14ac:dyDescent="0.25">
      <c r="A4100" s="73"/>
      <c r="B4100" s="73"/>
    </row>
    <row r="4101" spans="1:2" x14ac:dyDescent="0.25">
      <c r="A4101" s="73"/>
      <c r="B4101" s="73"/>
    </row>
    <row r="4102" spans="1:2" x14ac:dyDescent="0.25">
      <c r="A4102" s="73"/>
      <c r="B4102" s="73"/>
    </row>
    <row r="4103" spans="1:2" x14ac:dyDescent="0.25">
      <c r="A4103" s="73"/>
      <c r="B4103" s="73"/>
    </row>
    <row r="4104" spans="1:2" x14ac:dyDescent="0.25">
      <c r="A4104" s="73"/>
      <c r="B4104" s="73"/>
    </row>
    <row r="4105" spans="1:2" x14ac:dyDescent="0.25">
      <c r="A4105" s="73"/>
      <c r="B4105" s="73"/>
    </row>
    <row r="4106" spans="1:2" x14ac:dyDescent="0.25">
      <c r="A4106" s="73"/>
      <c r="B4106" s="73"/>
    </row>
    <row r="4107" spans="1:2" x14ac:dyDescent="0.25">
      <c r="A4107" s="73"/>
      <c r="B4107" s="73"/>
    </row>
    <row r="4108" spans="1:2" x14ac:dyDescent="0.25">
      <c r="A4108" s="73"/>
      <c r="B4108" s="73"/>
    </row>
    <row r="4109" spans="1:2" x14ac:dyDescent="0.25">
      <c r="A4109" s="73"/>
      <c r="B4109" s="73"/>
    </row>
    <row r="4110" spans="1:2" x14ac:dyDescent="0.25">
      <c r="A4110" s="73"/>
      <c r="B4110" s="73"/>
    </row>
    <row r="4111" spans="1:2" x14ac:dyDescent="0.25">
      <c r="A4111" s="73"/>
      <c r="B4111" s="73"/>
    </row>
    <row r="4112" spans="1:2" x14ac:dyDescent="0.25">
      <c r="A4112" s="73"/>
      <c r="B4112" s="73"/>
    </row>
    <row r="4113" spans="1:2" x14ac:dyDescent="0.25">
      <c r="A4113" s="73"/>
      <c r="B4113" s="73"/>
    </row>
    <row r="4114" spans="1:2" x14ac:dyDescent="0.25">
      <c r="A4114" s="73"/>
      <c r="B4114" s="73"/>
    </row>
    <row r="4115" spans="1:2" x14ac:dyDescent="0.25">
      <c r="A4115" s="73"/>
      <c r="B4115" s="73"/>
    </row>
    <row r="4116" spans="1:2" x14ac:dyDescent="0.25">
      <c r="A4116" s="73"/>
      <c r="B4116" s="73"/>
    </row>
    <row r="4117" spans="1:2" x14ac:dyDescent="0.25">
      <c r="A4117" s="73"/>
      <c r="B4117" s="73"/>
    </row>
    <row r="4118" spans="1:2" x14ac:dyDescent="0.25">
      <c r="A4118" s="73"/>
      <c r="B4118" s="73"/>
    </row>
    <row r="4119" spans="1:2" x14ac:dyDescent="0.25">
      <c r="A4119" s="73"/>
      <c r="B4119" s="73"/>
    </row>
    <row r="4120" spans="1:2" x14ac:dyDescent="0.25">
      <c r="A4120" s="73"/>
      <c r="B4120" s="73"/>
    </row>
    <row r="4121" spans="1:2" x14ac:dyDescent="0.25">
      <c r="A4121" s="73"/>
      <c r="B4121" s="73"/>
    </row>
    <row r="4122" spans="1:2" x14ac:dyDescent="0.25">
      <c r="A4122" s="73"/>
      <c r="B4122" s="73"/>
    </row>
    <row r="4123" spans="1:2" x14ac:dyDescent="0.25">
      <c r="A4123" s="73"/>
      <c r="B4123" s="73"/>
    </row>
    <row r="4124" spans="1:2" x14ac:dyDescent="0.25">
      <c r="A4124" s="73"/>
      <c r="B4124" s="73"/>
    </row>
    <row r="4125" spans="1:2" x14ac:dyDescent="0.25">
      <c r="A4125" s="73"/>
      <c r="B4125" s="73"/>
    </row>
    <row r="4126" spans="1:2" x14ac:dyDescent="0.25">
      <c r="A4126" s="73"/>
      <c r="B4126" s="73"/>
    </row>
    <row r="4127" spans="1:2" x14ac:dyDescent="0.25">
      <c r="A4127" s="73"/>
      <c r="B4127" s="73"/>
    </row>
    <row r="4128" spans="1:2" x14ac:dyDescent="0.25">
      <c r="A4128" s="73"/>
      <c r="B4128" s="73"/>
    </row>
    <row r="4129" spans="1:2" x14ac:dyDescent="0.25">
      <c r="A4129" s="73"/>
      <c r="B4129" s="73"/>
    </row>
    <row r="4130" spans="1:2" x14ac:dyDescent="0.25">
      <c r="A4130" s="73"/>
      <c r="B4130" s="73"/>
    </row>
    <row r="4131" spans="1:2" x14ac:dyDescent="0.25">
      <c r="A4131" s="73"/>
      <c r="B4131" s="73"/>
    </row>
    <row r="4132" spans="1:2" x14ac:dyDescent="0.25">
      <c r="A4132" s="73"/>
      <c r="B4132" s="73"/>
    </row>
    <row r="4133" spans="1:2" x14ac:dyDescent="0.25">
      <c r="A4133" s="73"/>
      <c r="B4133" s="73"/>
    </row>
    <row r="4134" spans="1:2" x14ac:dyDescent="0.25">
      <c r="A4134" s="73"/>
      <c r="B4134" s="73"/>
    </row>
    <row r="4135" spans="1:2" x14ac:dyDescent="0.25">
      <c r="A4135" s="73"/>
      <c r="B4135" s="73"/>
    </row>
    <row r="4136" spans="1:2" x14ac:dyDescent="0.25">
      <c r="A4136" s="73"/>
      <c r="B4136" s="73"/>
    </row>
    <row r="4137" spans="1:2" x14ac:dyDescent="0.25">
      <c r="A4137" s="73"/>
      <c r="B4137" s="73"/>
    </row>
    <row r="4138" spans="1:2" x14ac:dyDescent="0.25">
      <c r="A4138" s="73"/>
      <c r="B4138" s="73"/>
    </row>
    <row r="4139" spans="1:2" x14ac:dyDescent="0.25">
      <c r="A4139" s="73"/>
      <c r="B4139" s="73"/>
    </row>
    <row r="4140" spans="1:2" x14ac:dyDescent="0.25">
      <c r="A4140" s="73"/>
      <c r="B4140" s="73"/>
    </row>
    <row r="4141" spans="1:2" x14ac:dyDescent="0.25">
      <c r="A4141" s="73"/>
      <c r="B4141" s="73"/>
    </row>
    <row r="4142" spans="1:2" x14ac:dyDescent="0.25">
      <c r="A4142" s="73"/>
      <c r="B4142" s="73"/>
    </row>
    <row r="4143" spans="1:2" x14ac:dyDescent="0.25">
      <c r="A4143" s="73"/>
      <c r="B4143" s="73"/>
    </row>
    <row r="4144" spans="1:2" x14ac:dyDescent="0.25">
      <c r="A4144" s="73"/>
      <c r="B4144" s="73"/>
    </row>
    <row r="4145" spans="1:2" x14ac:dyDescent="0.25">
      <c r="A4145" s="73"/>
      <c r="B4145" s="73"/>
    </row>
    <row r="4146" spans="1:2" x14ac:dyDescent="0.25">
      <c r="A4146" s="73"/>
      <c r="B4146" s="73"/>
    </row>
    <row r="4147" spans="1:2" x14ac:dyDescent="0.25">
      <c r="A4147" s="73"/>
      <c r="B4147" s="73"/>
    </row>
    <row r="4148" spans="1:2" x14ac:dyDescent="0.25">
      <c r="A4148" s="73"/>
      <c r="B4148" s="73"/>
    </row>
    <row r="4149" spans="1:2" x14ac:dyDescent="0.25">
      <c r="A4149" s="73"/>
      <c r="B4149" s="73"/>
    </row>
    <row r="4150" spans="1:2" x14ac:dyDescent="0.25">
      <c r="A4150" s="73"/>
      <c r="B4150" s="73"/>
    </row>
    <row r="4151" spans="1:2" x14ac:dyDescent="0.25">
      <c r="A4151" s="73"/>
      <c r="B4151" s="73"/>
    </row>
    <row r="4152" spans="1:2" x14ac:dyDescent="0.25">
      <c r="A4152" s="73"/>
      <c r="B4152" s="73"/>
    </row>
    <row r="4153" spans="1:2" x14ac:dyDescent="0.25">
      <c r="A4153" s="73"/>
      <c r="B4153" s="73"/>
    </row>
    <row r="4154" spans="1:2" x14ac:dyDescent="0.25">
      <c r="A4154" s="73"/>
      <c r="B4154" s="73"/>
    </row>
    <row r="4155" spans="1:2" x14ac:dyDescent="0.25">
      <c r="A4155" s="73"/>
      <c r="B4155" s="73"/>
    </row>
    <row r="4156" spans="1:2" x14ac:dyDescent="0.25">
      <c r="A4156" s="73"/>
      <c r="B4156" s="73"/>
    </row>
    <row r="4157" spans="1:2" x14ac:dyDescent="0.25">
      <c r="A4157" s="73"/>
      <c r="B4157" s="73"/>
    </row>
    <row r="4158" spans="1:2" x14ac:dyDescent="0.25">
      <c r="A4158" s="73"/>
      <c r="B4158" s="73"/>
    </row>
    <row r="4159" spans="1:2" x14ac:dyDescent="0.25">
      <c r="A4159" s="73"/>
      <c r="B4159" s="73"/>
    </row>
    <row r="4160" spans="1:2" x14ac:dyDescent="0.25">
      <c r="A4160" s="73"/>
      <c r="B4160" s="73"/>
    </row>
    <row r="4161" spans="1:2" x14ac:dyDescent="0.25">
      <c r="A4161" s="73"/>
      <c r="B4161" s="73"/>
    </row>
    <row r="4162" spans="1:2" x14ac:dyDescent="0.25">
      <c r="A4162" s="73"/>
      <c r="B4162" s="73"/>
    </row>
    <row r="4163" spans="1:2" x14ac:dyDescent="0.25">
      <c r="A4163" s="73"/>
      <c r="B4163" s="73"/>
    </row>
    <row r="4164" spans="1:2" x14ac:dyDescent="0.25">
      <c r="A4164" s="73"/>
      <c r="B4164" s="73"/>
    </row>
    <row r="4165" spans="1:2" x14ac:dyDescent="0.25">
      <c r="A4165" s="73"/>
      <c r="B4165" s="73"/>
    </row>
    <row r="4166" spans="1:2" x14ac:dyDescent="0.25">
      <c r="A4166" s="73"/>
      <c r="B4166" s="73"/>
    </row>
    <row r="4167" spans="1:2" x14ac:dyDescent="0.25">
      <c r="A4167" s="73"/>
      <c r="B4167" s="73"/>
    </row>
    <row r="4168" spans="1:2" x14ac:dyDescent="0.25">
      <c r="A4168" s="73"/>
      <c r="B4168" s="73"/>
    </row>
    <row r="4169" spans="1:2" x14ac:dyDescent="0.25">
      <c r="A4169" s="73"/>
      <c r="B4169" s="73"/>
    </row>
    <row r="4170" spans="1:2" x14ac:dyDescent="0.25">
      <c r="A4170" s="73"/>
      <c r="B4170" s="73"/>
    </row>
    <row r="4171" spans="1:2" x14ac:dyDescent="0.25">
      <c r="A4171" s="73"/>
      <c r="B4171" s="73"/>
    </row>
    <row r="4172" spans="1:2" x14ac:dyDescent="0.25">
      <c r="A4172" s="73"/>
      <c r="B4172" s="73"/>
    </row>
    <row r="4173" spans="1:2" x14ac:dyDescent="0.25">
      <c r="A4173" s="73"/>
      <c r="B4173" s="73"/>
    </row>
    <row r="4174" spans="1:2" x14ac:dyDescent="0.25">
      <c r="A4174" s="73"/>
      <c r="B4174" s="73"/>
    </row>
    <row r="4175" spans="1:2" x14ac:dyDescent="0.25">
      <c r="A4175" s="73"/>
      <c r="B4175" s="73"/>
    </row>
    <row r="4176" spans="1:2" x14ac:dyDescent="0.25">
      <c r="A4176" s="73"/>
      <c r="B4176" s="73"/>
    </row>
    <row r="4177" spans="1:2" x14ac:dyDescent="0.25">
      <c r="A4177" s="73"/>
      <c r="B4177" s="73"/>
    </row>
    <row r="4178" spans="1:2" x14ac:dyDescent="0.25">
      <c r="A4178" s="73"/>
      <c r="B4178" s="73"/>
    </row>
    <row r="4179" spans="1:2" x14ac:dyDescent="0.25">
      <c r="A4179" s="73"/>
      <c r="B4179" s="73"/>
    </row>
    <row r="4180" spans="1:2" x14ac:dyDescent="0.25">
      <c r="A4180" s="73"/>
      <c r="B4180" s="73"/>
    </row>
    <row r="4181" spans="1:2" x14ac:dyDescent="0.25">
      <c r="A4181" s="73"/>
      <c r="B4181" s="73"/>
    </row>
    <row r="4182" spans="1:2" x14ac:dyDescent="0.25">
      <c r="A4182" s="73"/>
      <c r="B4182" s="73"/>
    </row>
    <row r="4183" spans="1:2" x14ac:dyDescent="0.25">
      <c r="A4183" s="73"/>
      <c r="B4183" s="73"/>
    </row>
    <row r="4184" spans="1:2" x14ac:dyDescent="0.25">
      <c r="A4184" s="73"/>
      <c r="B4184" s="73"/>
    </row>
    <row r="4185" spans="1:2" x14ac:dyDescent="0.25">
      <c r="A4185" s="73"/>
      <c r="B4185" s="73"/>
    </row>
    <row r="4186" spans="1:2" x14ac:dyDescent="0.25">
      <c r="A4186" s="73"/>
      <c r="B4186" s="73"/>
    </row>
    <row r="4187" spans="1:2" x14ac:dyDescent="0.25">
      <c r="A4187" s="73"/>
      <c r="B4187" s="73"/>
    </row>
    <row r="4188" spans="1:2" x14ac:dyDescent="0.25">
      <c r="A4188" s="73"/>
      <c r="B4188" s="73"/>
    </row>
    <row r="4189" spans="1:2" x14ac:dyDescent="0.25">
      <c r="A4189" s="73"/>
      <c r="B4189" s="73"/>
    </row>
    <row r="4190" spans="1:2" x14ac:dyDescent="0.25">
      <c r="A4190" s="73"/>
      <c r="B4190" s="73"/>
    </row>
    <row r="4191" spans="1:2" x14ac:dyDescent="0.25">
      <c r="A4191" s="73"/>
      <c r="B4191" s="73"/>
    </row>
    <row r="4192" spans="1:2" x14ac:dyDescent="0.25">
      <c r="A4192" s="73"/>
      <c r="B4192" s="73"/>
    </row>
    <row r="4193" spans="1:2" x14ac:dyDescent="0.25">
      <c r="A4193" s="73"/>
      <c r="B4193" s="73"/>
    </row>
    <row r="4194" spans="1:2" x14ac:dyDescent="0.25">
      <c r="A4194" s="73"/>
      <c r="B4194" s="73"/>
    </row>
    <row r="4195" spans="1:2" x14ac:dyDescent="0.25">
      <c r="A4195" s="73"/>
      <c r="B4195" s="73"/>
    </row>
    <row r="4196" spans="1:2" x14ac:dyDescent="0.25">
      <c r="A4196" s="73"/>
      <c r="B4196" s="73"/>
    </row>
    <row r="4197" spans="1:2" x14ac:dyDescent="0.25">
      <c r="A4197" s="73"/>
      <c r="B4197" s="73"/>
    </row>
    <row r="4198" spans="1:2" x14ac:dyDescent="0.25">
      <c r="A4198" s="73"/>
      <c r="B4198" s="73"/>
    </row>
    <row r="4199" spans="1:2" x14ac:dyDescent="0.25">
      <c r="A4199" s="73"/>
      <c r="B4199" s="73"/>
    </row>
    <row r="4200" spans="1:2" x14ac:dyDescent="0.25">
      <c r="A4200" s="73"/>
      <c r="B4200" s="73"/>
    </row>
    <row r="4201" spans="1:2" x14ac:dyDescent="0.25">
      <c r="A4201" s="73"/>
      <c r="B4201" s="73"/>
    </row>
    <row r="4202" spans="1:2" x14ac:dyDescent="0.25">
      <c r="A4202" s="73"/>
      <c r="B4202" s="73"/>
    </row>
    <row r="4203" spans="1:2" x14ac:dyDescent="0.25">
      <c r="A4203" s="73"/>
      <c r="B4203" s="73"/>
    </row>
    <row r="4204" spans="1:2" x14ac:dyDescent="0.25">
      <c r="A4204" s="73"/>
      <c r="B4204" s="73"/>
    </row>
    <row r="4205" spans="1:2" x14ac:dyDescent="0.25">
      <c r="A4205" s="73"/>
      <c r="B4205" s="73"/>
    </row>
    <row r="4206" spans="1:2" x14ac:dyDescent="0.25">
      <c r="A4206" s="73"/>
      <c r="B4206" s="73"/>
    </row>
    <row r="4207" spans="1:2" x14ac:dyDescent="0.25">
      <c r="A4207" s="73"/>
      <c r="B4207" s="73"/>
    </row>
    <row r="4208" spans="1:2" x14ac:dyDescent="0.25">
      <c r="A4208" s="73"/>
      <c r="B4208" s="73"/>
    </row>
    <row r="4209" spans="1:2" x14ac:dyDescent="0.25">
      <c r="A4209" s="73"/>
      <c r="B4209" s="73"/>
    </row>
    <row r="4210" spans="1:2" x14ac:dyDescent="0.25">
      <c r="A4210" s="73"/>
      <c r="B4210" s="73"/>
    </row>
    <row r="4211" spans="1:2" x14ac:dyDescent="0.25">
      <c r="A4211" s="73"/>
      <c r="B4211" s="73"/>
    </row>
    <row r="4212" spans="1:2" x14ac:dyDescent="0.25">
      <c r="A4212" s="73"/>
      <c r="B4212" s="73"/>
    </row>
    <row r="4213" spans="1:2" x14ac:dyDescent="0.25">
      <c r="A4213" s="73"/>
      <c r="B4213" s="73"/>
    </row>
    <row r="4214" spans="1:2" x14ac:dyDescent="0.25">
      <c r="A4214" s="73"/>
      <c r="B4214" s="73"/>
    </row>
    <row r="4215" spans="1:2" x14ac:dyDescent="0.25">
      <c r="A4215" s="73"/>
      <c r="B4215" s="73"/>
    </row>
    <row r="4216" spans="1:2" x14ac:dyDescent="0.25">
      <c r="A4216" s="73"/>
      <c r="B4216" s="73"/>
    </row>
    <row r="4217" spans="1:2" x14ac:dyDescent="0.25">
      <c r="A4217" s="73"/>
      <c r="B4217" s="73"/>
    </row>
    <row r="4218" spans="1:2" x14ac:dyDescent="0.25">
      <c r="A4218" s="73"/>
      <c r="B4218" s="73"/>
    </row>
    <row r="4219" spans="1:2" x14ac:dyDescent="0.25">
      <c r="A4219" s="73"/>
      <c r="B4219" s="73"/>
    </row>
    <row r="4220" spans="1:2" x14ac:dyDescent="0.25">
      <c r="A4220" s="73"/>
      <c r="B4220" s="73"/>
    </row>
    <row r="4221" spans="1:2" x14ac:dyDescent="0.25">
      <c r="A4221" s="73"/>
      <c r="B4221" s="73"/>
    </row>
    <row r="4222" spans="1:2" x14ac:dyDescent="0.25">
      <c r="A4222" s="73"/>
      <c r="B4222" s="73"/>
    </row>
    <row r="4223" spans="1:2" x14ac:dyDescent="0.25">
      <c r="A4223" s="73"/>
      <c r="B4223" s="73"/>
    </row>
    <row r="4224" spans="1:2" x14ac:dyDescent="0.25">
      <c r="A4224" s="73"/>
      <c r="B4224" s="73"/>
    </row>
    <row r="4225" spans="1:2" x14ac:dyDescent="0.25">
      <c r="A4225" s="73"/>
      <c r="B4225" s="73"/>
    </row>
    <row r="4226" spans="1:2" x14ac:dyDescent="0.25">
      <c r="A4226" s="73"/>
      <c r="B4226" s="73"/>
    </row>
    <row r="4227" spans="1:2" x14ac:dyDescent="0.25">
      <c r="A4227" s="73"/>
      <c r="B4227" s="73"/>
    </row>
    <row r="4228" spans="1:2" x14ac:dyDescent="0.25">
      <c r="A4228" s="73"/>
      <c r="B4228" s="73"/>
    </row>
    <row r="4229" spans="1:2" x14ac:dyDescent="0.25">
      <c r="A4229" s="73"/>
      <c r="B4229" s="73"/>
    </row>
    <row r="4230" spans="1:2" x14ac:dyDescent="0.25">
      <c r="A4230" s="73"/>
      <c r="B4230" s="73"/>
    </row>
    <row r="4231" spans="1:2" x14ac:dyDescent="0.25">
      <c r="A4231" s="73"/>
      <c r="B4231" s="73"/>
    </row>
    <row r="4232" spans="1:2" x14ac:dyDescent="0.25">
      <c r="A4232" s="73"/>
      <c r="B4232" s="73"/>
    </row>
    <row r="4233" spans="1:2" x14ac:dyDescent="0.25">
      <c r="A4233" s="73"/>
      <c r="B4233" s="73"/>
    </row>
    <row r="4234" spans="1:2" x14ac:dyDescent="0.25">
      <c r="A4234" s="73"/>
      <c r="B4234" s="73"/>
    </row>
    <row r="4235" spans="1:2" x14ac:dyDescent="0.25">
      <c r="A4235" s="73"/>
      <c r="B4235" s="73"/>
    </row>
    <row r="4236" spans="1:2" x14ac:dyDescent="0.25">
      <c r="A4236" s="73"/>
      <c r="B4236" s="73"/>
    </row>
    <row r="4237" spans="1:2" x14ac:dyDescent="0.25">
      <c r="A4237" s="73"/>
      <c r="B4237" s="73"/>
    </row>
    <row r="4238" spans="1:2" x14ac:dyDescent="0.25">
      <c r="A4238" s="73"/>
      <c r="B4238" s="73"/>
    </row>
    <row r="4239" spans="1:2" x14ac:dyDescent="0.25">
      <c r="A4239" s="73"/>
      <c r="B4239" s="73"/>
    </row>
    <row r="4240" spans="1:2" x14ac:dyDescent="0.25">
      <c r="A4240" s="73"/>
      <c r="B4240" s="73"/>
    </row>
    <row r="4241" spans="1:2" x14ac:dyDescent="0.25">
      <c r="A4241" s="73"/>
      <c r="B4241" s="73"/>
    </row>
    <row r="4242" spans="1:2" x14ac:dyDescent="0.25">
      <c r="A4242" s="73"/>
      <c r="B4242" s="73"/>
    </row>
    <row r="4243" spans="1:2" x14ac:dyDescent="0.25">
      <c r="A4243" s="73"/>
      <c r="B4243" s="73"/>
    </row>
    <row r="4244" spans="1:2" x14ac:dyDescent="0.25">
      <c r="A4244" s="73"/>
      <c r="B4244" s="73"/>
    </row>
    <row r="4245" spans="1:2" x14ac:dyDescent="0.25">
      <c r="A4245" s="73"/>
      <c r="B4245" s="73"/>
    </row>
    <row r="4246" spans="1:2" x14ac:dyDescent="0.25">
      <c r="A4246" s="73"/>
      <c r="B4246" s="73"/>
    </row>
    <row r="4247" spans="1:2" x14ac:dyDescent="0.25">
      <c r="A4247" s="73"/>
      <c r="B4247" s="73"/>
    </row>
    <row r="4248" spans="1:2" x14ac:dyDescent="0.25">
      <c r="A4248" s="73"/>
      <c r="B4248" s="73"/>
    </row>
    <row r="4249" spans="1:2" x14ac:dyDescent="0.25">
      <c r="A4249" s="73"/>
      <c r="B4249" s="73"/>
    </row>
    <row r="4250" spans="1:2" x14ac:dyDescent="0.25">
      <c r="A4250" s="73"/>
      <c r="B4250" s="73"/>
    </row>
    <row r="4251" spans="1:2" x14ac:dyDescent="0.25">
      <c r="A4251" s="73"/>
      <c r="B4251" s="73"/>
    </row>
    <row r="4252" spans="1:2" x14ac:dyDescent="0.25">
      <c r="A4252" s="73"/>
      <c r="B4252" s="73"/>
    </row>
    <row r="4253" spans="1:2" x14ac:dyDescent="0.25">
      <c r="A4253" s="73"/>
      <c r="B4253" s="73"/>
    </row>
    <row r="4254" spans="1:2" x14ac:dyDescent="0.25">
      <c r="A4254" s="73"/>
      <c r="B4254" s="73"/>
    </row>
    <row r="4255" spans="1:2" x14ac:dyDescent="0.25">
      <c r="A4255" s="73"/>
      <c r="B4255" s="73"/>
    </row>
    <row r="4256" spans="1:2" x14ac:dyDescent="0.25">
      <c r="A4256" s="73"/>
      <c r="B4256" s="73"/>
    </row>
    <row r="4257" spans="1:2" x14ac:dyDescent="0.25">
      <c r="A4257" s="73"/>
      <c r="B4257" s="73"/>
    </row>
    <row r="4258" spans="1:2" x14ac:dyDescent="0.25">
      <c r="A4258" s="73"/>
      <c r="B4258" s="73"/>
    </row>
    <row r="4259" spans="1:2" x14ac:dyDescent="0.25">
      <c r="A4259" s="73"/>
      <c r="B4259" s="73"/>
    </row>
    <row r="4260" spans="1:2" x14ac:dyDescent="0.25">
      <c r="A4260" s="73"/>
      <c r="B4260" s="73"/>
    </row>
    <row r="4261" spans="1:2" x14ac:dyDescent="0.25">
      <c r="A4261" s="73"/>
      <c r="B4261" s="73"/>
    </row>
    <row r="4262" spans="1:2" x14ac:dyDescent="0.25">
      <c r="A4262" s="73"/>
      <c r="B4262" s="73"/>
    </row>
    <row r="4263" spans="1:2" x14ac:dyDescent="0.25">
      <c r="A4263" s="73"/>
      <c r="B4263" s="73"/>
    </row>
    <row r="4264" spans="1:2" x14ac:dyDescent="0.25">
      <c r="A4264" s="73"/>
      <c r="B4264" s="73"/>
    </row>
    <row r="4265" spans="1:2" x14ac:dyDescent="0.25">
      <c r="A4265" s="73"/>
      <c r="B4265" s="73"/>
    </row>
    <row r="4266" spans="1:2" x14ac:dyDescent="0.25">
      <c r="A4266" s="73"/>
      <c r="B4266" s="73"/>
    </row>
    <row r="4267" spans="1:2" x14ac:dyDescent="0.25">
      <c r="A4267" s="73"/>
      <c r="B4267" s="73"/>
    </row>
    <row r="4268" spans="1:2" x14ac:dyDescent="0.25">
      <c r="A4268" s="73"/>
      <c r="B4268" s="73"/>
    </row>
    <row r="4269" spans="1:2" x14ac:dyDescent="0.25">
      <c r="A4269" s="73"/>
      <c r="B4269" s="73"/>
    </row>
    <row r="4270" spans="1:2" x14ac:dyDescent="0.25">
      <c r="A4270" s="73"/>
      <c r="B4270" s="73"/>
    </row>
    <row r="4271" spans="1:2" x14ac:dyDescent="0.25">
      <c r="A4271" s="73"/>
      <c r="B4271" s="73"/>
    </row>
    <row r="4272" spans="1:2" x14ac:dyDescent="0.25">
      <c r="A4272" s="73"/>
      <c r="B4272" s="73"/>
    </row>
    <row r="4273" spans="1:2" x14ac:dyDescent="0.25">
      <c r="A4273" s="73"/>
      <c r="B4273" s="73"/>
    </row>
    <row r="4274" spans="1:2" x14ac:dyDescent="0.25">
      <c r="A4274" s="73"/>
      <c r="B4274" s="73"/>
    </row>
    <row r="4275" spans="1:2" x14ac:dyDescent="0.25">
      <c r="A4275" s="73"/>
      <c r="B4275" s="73"/>
    </row>
    <row r="4276" spans="1:2" x14ac:dyDescent="0.25">
      <c r="A4276" s="73"/>
      <c r="B4276" s="73"/>
    </row>
    <row r="4277" spans="1:2" x14ac:dyDescent="0.25">
      <c r="A4277" s="73"/>
      <c r="B4277" s="73"/>
    </row>
    <row r="4278" spans="1:2" x14ac:dyDescent="0.25">
      <c r="A4278" s="73"/>
      <c r="B4278" s="73"/>
    </row>
    <row r="4279" spans="1:2" x14ac:dyDescent="0.25">
      <c r="A4279" s="73"/>
      <c r="B4279" s="73"/>
    </row>
    <row r="4280" spans="1:2" x14ac:dyDescent="0.25">
      <c r="A4280" s="73"/>
      <c r="B4280" s="73"/>
    </row>
    <row r="4281" spans="1:2" x14ac:dyDescent="0.25">
      <c r="A4281" s="73"/>
      <c r="B4281" s="73"/>
    </row>
    <row r="4282" spans="1:2" x14ac:dyDescent="0.25">
      <c r="A4282" s="73"/>
      <c r="B4282" s="73"/>
    </row>
    <row r="4283" spans="1:2" x14ac:dyDescent="0.25">
      <c r="A4283" s="73"/>
      <c r="B4283" s="73"/>
    </row>
    <row r="4284" spans="1:2" x14ac:dyDescent="0.25">
      <c r="A4284" s="73"/>
      <c r="B4284" s="73"/>
    </row>
    <row r="4285" spans="1:2" x14ac:dyDescent="0.25">
      <c r="A4285" s="73"/>
      <c r="B4285" s="73"/>
    </row>
    <row r="4286" spans="1:2" x14ac:dyDescent="0.25">
      <c r="A4286" s="73"/>
      <c r="B4286" s="73"/>
    </row>
    <row r="4287" spans="1:2" x14ac:dyDescent="0.25">
      <c r="A4287" s="73"/>
      <c r="B4287" s="73"/>
    </row>
    <row r="4288" spans="1:2" x14ac:dyDescent="0.25">
      <c r="A4288" s="73"/>
      <c r="B4288" s="73"/>
    </row>
    <row r="4289" spans="1:2" x14ac:dyDescent="0.25">
      <c r="A4289" s="73"/>
      <c r="B4289" s="73"/>
    </row>
    <row r="4290" spans="1:2" x14ac:dyDescent="0.25">
      <c r="A4290" s="73"/>
      <c r="B4290" s="73"/>
    </row>
    <row r="4291" spans="1:2" x14ac:dyDescent="0.25">
      <c r="A4291" s="73"/>
      <c r="B4291" s="73"/>
    </row>
    <row r="4292" spans="1:2" x14ac:dyDescent="0.25">
      <c r="A4292" s="73"/>
      <c r="B4292" s="73"/>
    </row>
    <row r="4293" spans="1:2" x14ac:dyDescent="0.25">
      <c r="A4293" s="73"/>
      <c r="B4293" s="73"/>
    </row>
    <row r="4294" spans="1:2" x14ac:dyDescent="0.25">
      <c r="A4294" s="73"/>
      <c r="B4294" s="73"/>
    </row>
    <row r="4295" spans="1:2" x14ac:dyDescent="0.25">
      <c r="A4295" s="73"/>
      <c r="B4295" s="73"/>
    </row>
    <row r="4296" spans="1:2" x14ac:dyDescent="0.25">
      <c r="A4296" s="73"/>
      <c r="B4296" s="73"/>
    </row>
    <row r="4297" spans="1:2" x14ac:dyDescent="0.25">
      <c r="A4297" s="73"/>
      <c r="B4297" s="73"/>
    </row>
    <row r="4298" spans="1:2" x14ac:dyDescent="0.25">
      <c r="A4298" s="73"/>
      <c r="B4298" s="73"/>
    </row>
    <row r="4299" spans="1:2" x14ac:dyDescent="0.25">
      <c r="A4299" s="73"/>
      <c r="B4299" s="73"/>
    </row>
    <row r="4300" spans="1:2" x14ac:dyDescent="0.25">
      <c r="A4300" s="73"/>
      <c r="B4300" s="73"/>
    </row>
    <row r="4301" spans="1:2" x14ac:dyDescent="0.25">
      <c r="A4301" s="73"/>
      <c r="B4301" s="73"/>
    </row>
    <row r="4302" spans="1:2" x14ac:dyDescent="0.25">
      <c r="A4302" s="73"/>
      <c r="B4302" s="73"/>
    </row>
    <row r="4303" spans="1:2" x14ac:dyDescent="0.25">
      <c r="A4303" s="73"/>
      <c r="B4303" s="73"/>
    </row>
    <row r="4304" spans="1:2" x14ac:dyDescent="0.25">
      <c r="A4304" s="73"/>
      <c r="B4304" s="73"/>
    </row>
    <row r="4305" spans="1:2" x14ac:dyDescent="0.25">
      <c r="A4305" s="73"/>
      <c r="B4305" s="73"/>
    </row>
    <row r="4306" spans="1:2" x14ac:dyDescent="0.25">
      <c r="A4306" s="73"/>
      <c r="B4306" s="73"/>
    </row>
    <row r="4307" spans="1:2" x14ac:dyDescent="0.25">
      <c r="A4307" s="73"/>
      <c r="B4307" s="73"/>
    </row>
    <row r="4308" spans="1:2" x14ac:dyDescent="0.25">
      <c r="A4308" s="73"/>
      <c r="B4308" s="73"/>
    </row>
    <row r="4309" spans="1:2" x14ac:dyDescent="0.25">
      <c r="A4309" s="73"/>
      <c r="B4309" s="73"/>
    </row>
    <row r="4310" spans="1:2" x14ac:dyDescent="0.25">
      <c r="A4310" s="73"/>
      <c r="B4310" s="73"/>
    </row>
    <row r="4311" spans="1:2" x14ac:dyDescent="0.25">
      <c r="A4311" s="73"/>
      <c r="B4311" s="73"/>
    </row>
    <row r="4312" spans="1:2" x14ac:dyDescent="0.25">
      <c r="A4312" s="73"/>
      <c r="B4312" s="73"/>
    </row>
    <row r="4313" spans="1:2" x14ac:dyDescent="0.25">
      <c r="A4313" s="73"/>
      <c r="B4313" s="73"/>
    </row>
    <row r="4314" spans="1:2" x14ac:dyDescent="0.25">
      <c r="A4314" s="73"/>
      <c r="B4314" s="73"/>
    </row>
    <row r="4315" spans="1:2" x14ac:dyDescent="0.25">
      <c r="A4315" s="73"/>
      <c r="B4315" s="73"/>
    </row>
    <row r="4316" spans="1:2" x14ac:dyDescent="0.25">
      <c r="A4316" s="73"/>
      <c r="B4316" s="73"/>
    </row>
    <row r="4317" spans="1:2" x14ac:dyDescent="0.25">
      <c r="A4317" s="73"/>
      <c r="B4317" s="73"/>
    </row>
    <row r="4318" spans="1:2" x14ac:dyDescent="0.25">
      <c r="A4318" s="73"/>
      <c r="B4318" s="73"/>
    </row>
    <row r="4319" spans="1:2" x14ac:dyDescent="0.25">
      <c r="A4319" s="73"/>
      <c r="B4319" s="73"/>
    </row>
    <row r="4320" spans="1:2" x14ac:dyDescent="0.25">
      <c r="A4320" s="73"/>
      <c r="B4320" s="73"/>
    </row>
    <row r="4321" spans="1:2" x14ac:dyDescent="0.25">
      <c r="A4321" s="73"/>
      <c r="B4321" s="73"/>
    </row>
    <row r="4322" spans="1:2" x14ac:dyDescent="0.25">
      <c r="A4322" s="73"/>
      <c r="B4322" s="73"/>
    </row>
    <row r="4323" spans="1:2" x14ac:dyDescent="0.25">
      <c r="A4323" s="73"/>
      <c r="B4323" s="73"/>
    </row>
    <row r="4324" spans="1:2" x14ac:dyDescent="0.25">
      <c r="A4324" s="73"/>
      <c r="B4324" s="73"/>
    </row>
    <row r="4325" spans="1:2" x14ac:dyDescent="0.25">
      <c r="A4325" s="73"/>
      <c r="B4325" s="73"/>
    </row>
    <row r="4326" spans="1:2" x14ac:dyDescent="0.25">
      <c r="A4326" s="73"/>
      <c r="B4326" s="73"/>
    </row>
    <row r="4327" spans="1:2" x14ac:dyDescent="0.25">
      <c r="A4327" s="73"/>
      <c r="B4327" s="73"/>
    </row>
    <row r="4328" spans="1:2" x14ac:dyDescent="0.25">
      <c r="A4328" s="73"/>
      <c r="B4328" s="73"/>
    </row>
    <row r="4329" spans="1:2" x14ac:dyDescent="0.25">
      <c r="A4329" s="73"/>
      <c r="B4329" s="73"/>
    </row>
    <row r="4330" spans="1:2" x14ac:dyDescent="0.25">
      <c r="A4330" s="73"/>
      <c r="B4330" s="73"/>
    </row>
    <row r="4331" spans="1:2" x14ac:dyDescent="0.25">
      <c r="A4331" s="73"/>
      <c r="B4331" s="73"/>
    </row>
    <row r="4332" spans="1:2" x14ac:dyDescent="0.25">
      <c r="A4332" s="73"/>
      <c r="B4332" s="73"/>
    </row>
    <row r="4333" spans="1:2" x14ac:dyDescent="0.25">
      <c r="A4333" s="73"/>
      <c r="B4333" s="73"/>
    </row>
    <row r="4334" spans="1:2" x14ac:dyDescent="0.25">
      <c r="A4334" s="73"/>
      <c r="B4334" s="73"/>
    </row>
    <row r="4335" spans="1:2" x14ac:dyDescent="0.25">
      <c r="A4335" s="73"/>
      <c r="B4335" s="73"/>
    </row>
    <row r="4336" spans="1:2" x14ac:dyDescent="0.25">
      <c r="A4336" s="73"/>
      <c r="B4336" s="73"/>
    </row>
    <row r="4337" spans="1:2" x14ac:dyDescent="0.25">
      <c r="A4337" s="73"/>
      <c r="B4337" s="73"/>
    </row>
    <row r="4338" spans="1:2" x14ac:dyDescent="0.25">
      <c r="A4338" s="73"/>
      <c r="B4338" s="73"/>
    </row>
    <row r="4339" spans="1:2" x14ac:dyDescent="0.25">
      <c r="A4339" s="73"/>
      <c r="B4339" s="73"/>
    </row>
    <row r="4340" spans="1:2" x14ac:dyDescent="0.25">
      <c r="A4340" s="73"/>
      <c r="B4340" s="73"/>
    </row>
    <row r="4341" spans="1:2" x14ac:dyDescent="0.25">
      <c r="A4341" s="73"/>
      <c r="B4341" s="73"/>
    </row>
    <row r="4342" spans="1:2" x14ac:dyDescent="0.25">
      <c r="A4342" s="73"/>
      <c r="B4342" s="73"/>
    </row>
    <row r="4343" spans="1:2" x14ac:dyDescent="0.25">
      <c r="A4343" s="73"/>
      <c r="B4343" s="73"/>
    </row>
    <row r="4344" spans="1:2" x14ac:dyDescent="0.25">
      <c r="A4344" s="73"/>
      <c r="B4344" s="73"/>
    </row>
    <row r="4345" spans="1:2" x14ac:dyDescent="0.25">
      <c r="A4345" s="73"/>
      <c r="B4345" s="73"/>
    </row>
    <row r="4346" spans="1:2" x14ac:dyDescent="0.25">
      <c r="A4346" s="73"/>
      <c r="B4346" s="73"/>
    </row>
    <row r="4347" spans="1:2" x14ac:dyDescent="0.25">
      <c r="A4347" s="73"/>
      <c r="B4347" s="73"/>
    </row>
    <row r="4348" spans="1:2" x14ac:dyDescent="0.25">
      <c r="A4348" s="73"/>
      <c r="B4348" s="73"/>
    </row>
    <row r="4349" spans="1:2" x14ac:dyDescent="0.25">
      <c r="A4349" s="73"/>
      <c r="B4349" s="73"/>
    </row>
    <row r="4350" spans="1:2" x14ac:dyDescent="0.25">
      <c r="A4350" s="73"/>
      <c r="B4350" s="73"/>
    </row>
    <row r="4351" spans="1:2" x14ac:dyDescent="0.25">
      <c r="A4351" s="73"/>
      <c r="B4351" s="73"/>
    </row>
    <row r="4352" spans="1:2" x14ac:dyDescent="0.25">
      <c r="A4352" s="73"/>
      <c r="B4352" s="73"/>
    </row>
    <row r="4353" spans="1:2" x14ac:dyDescent="0.25">
      <c r="A4353" s="73"/>
      <c r="B4353" s="73"/>
    </row>
    <row r="4354" spans="1:2" x14ac:dyDescent="0.25">
      <c r="A4354" s="73"/>
      <c r="B4354" s="73"/>
    </row>
    <row r="4355" spans="1:2" x14ac:dyDescent="0.25">
      <c r="A4355" s="73"/>
      <c r="B4355" s="73"/>
    </row>
    <row r="4356" spans="1:2" x14ac:dyDescent="0.25">
      <c r="A4356" s="73"/>
      <c r="B4356" s="73"/>
    </row>
    <row r="4357" spans="1:2" x14ac:dyDescent="0.25">
      <c r="A4357" s="73"/>
      <c r="B4357" s="73"/>
    </row>
    <row r="4358" spans="1:2" x14ac:dyDescent="0.25">
      <c r="A4358" s="73"/>
      <c r="B4358" s="73"/>
    </row>
    <row r="4359" spans="1:2" x14ac:dyDescent="0.25">
      <c r="A4359" s="73"/>
      <c r="B4359" s="73"/>
    </row>
    <row r="4360" spans="1:2" x14ac:dyDescent="0.25">
      <c r="A4360" s="73"/>
      <c r="B4360" s="73"/>
    </row>
    <row r="4361" spans="1:2" x14ac:dyDescent="0.25">
      <c r="A4361" s="73"/>
      <c r="B4361" s="73"/>
    </row>
    <row r="4362" spans="1:2" x14ac:dyDescent="0.25">
      <c r="A4362" s="73"/>
      <c r="B4362" s="73"/>
    </row>
    <row r="4363" spans="1:2" x14ac:dyDescent="0.25">
      <c r="A4363" s="73"/>
      <c r="B4363" s="73"/>
    </row>
    <row r="4364" spans="1:2" x14ac:dyDescent="0.25">
      <c r="A4364" s="73"/>
      <c r="B4364" s="73"/>
    </row>
    <row r="4365" spans="1:2" x14ac:dyDescent="0.25">
      <c r="A4365" s="73"/>
      <c r="B4365" s="73"/>
    </row>
    <row r="4366" spans="1:2" x14ac:dyDescent="0.25">
      <c r="A4366" s="73"/>
      <c r="B4366" s="73"/>
    </row>
    <row r="4367" spans="1:2" x14ac:dyDescent="0.25">
      <c r="A4367" s="73"/>
      <c r="B4367" s="73"/>
    </row>
    <row r="4368" spans="1:2" x14ac:dyDescent="0.25">
      <c r="A4368" s="73"/>
      <c r="B4368" s="73"/>
    </row>
    <row r="4369" spans="1:2" x14ac:dyDescent="0.25">
      <c r="A4369" s="73"/>
      <c r="B4369" s="73"/>
    </row>
    <row r="4370" spans="1:2" x14ac:dyDescent="0.25">
      <c r="A4370" s="73"/>
      <c r="B4370" s="73"/>
    </row>
    <row r="4371" spans="1:2" x14ac:dyDescent="0.25">
      <c r="A4371" s="73"/>
      <c r="B4371" s="73"/>
    </row>
    <row r="4372" spans="1:2" x14ac:dyDescent="0.25">
      <c r="A4372" s="73"/>
      <c r="B4372" s="73"/>
    </row>
    <row r="4373" spans="1:2" x14ac:dyDescent="0.25">
      <c r="A4373" s="73"/>
      <c r="B4373" s="73"/>
    </row>
    <row r="4374" spans="1:2" x14ac:dyDescent="0.25">
      <c r="A4374" s="73"/>
      <c r="B4374" s="73"/>
    </row>
    <row r="4375" spans="1:2" x14ac:dyDescent="0.25">
      <c r="A4375" s="73"/>
      <c r="B4375" s="73"/>
    </row>
    <row r="4376" spans="1:2" x14ac:dyDescent="0.25">
      <c r="A4376" s="73"/>
      <c r="B4376" s="73"/>
    </row>
    <row r="4377" spans="1:2" x14ac:dyDescent="0.25">
      <c r="A4377" s="73"/>
      <c r="B4377" s="73"/>
    </row>
    <row r="4378" spans="1:2" x14ac:dyDescent="0.25">
      <c r="A4378" s="73"/>
      <c r="B4378" s="73"/>
    </row>
    <row r="4379" spans="1:2" x14ac:dyDescent="0.25">
      <c r="A4379" s="73"/>
      <c r="B4379" s="73"/>
    </row>
    <row r="4380" spans="1:2" x14ac:dyDescent="0.25">
      <c r="A4380" s="73"/>
      <c r="B4380" s="73"/>
    </row>
    <row r="4381" spans="1:2" x14ac:dyDescent="0.25">
      <c r="A4381" s="73"/>
      <c r="B4381" s="73"/>
    </row>
    <row r="4382" spans="1:2" x14ac:dyDescent="0.25">
      <c r="A4382" s="73"/>
      <c r="B4382" s="73"/>
    </row>
    <row r="4383" spans="1:2" x14ac:dyDescent="0.25">
      <c r="A4383" s="73"/>
      <c r="B4383" s="73"/>
    </row>
    <row r="4384" spans="1:2" x14ac:dyDescent="0.25">
      <c r="A4384" s="73"/>
      <c r="B4384" s="73"/>
    </row>
    <row r="4385" spans="1:2" x14ac:dyDescent="0.25">
      <c r="A4385" s="73"/>
      <c r="B4385" s="73"/>
    </row>
    <row r="4386" spans="1:2" x14ac:dyDescent="0.25">
      <c r="A4386" s="73"/>
      <c r="B4386" s="73"/>
    </row>
    <row r="4387" spans="1:2" x14ac:dyDescent="0.25">
      <c r="A4387" s="73"/>
      <c r="B4387" s="73"/>
    </row>
    <row r="4388" spans="1:2" x14ac:dyDescent="0.25">
      <c r="A4388" s="73"/>
      <c r="B4388" s="73"/>
    </row>
    <row r="4389" spans="1:2" x14ac:dyDescent="0.25">
      <c r="A4389" s="73"/>
      <c r="B4389" s="73"/>
    </row>
    <row r="4390" spans="1:2" x14ac:dyDescent="0.25">
      <c r="A4390" s="73"/>
      <c r="B4390" s="73"/>
    </row>
    <row r="4391" spans="1:2" x14ac:dyDescent="0.25">
      <c r="A4391" s="73"/>
      <c r="B4391" s="73"/>
    </row>
    <row r="4392" spans="1:2" x14ac:dyDescent="0.25">
      <c r="A4392" s="73"/>
      <c r="B4392" s="73"/>
    </row>
    <row r="4393" spans="1:2" x14ac:dyDescent="0.25">
      <c r="A4393" s="73"/>
      <c r="B4393" s="73"/>
    </row>
    <row r="4394" spans="1:2" x14ac:dyDescent="0.25">
      <c r="A4394" s="73"/>
      <c r="B4394" s="73"/>
    </row>
    <row r="4395" spans="1:2" x14ac:dyDescent="0.25">
      <c r="A4395" s="73"/>
      <c r="B4395" s="73"/>
    </row>
    <row r="4396" spans="1:2" x14ac:dyDescent="0.25">
      <c r="A4396" s="73"/>
      <c r="B4396" s="73"/>
    </row>
    <row r="4397" spans="1:2" x14ac:dyDescent="0.25">
      <c r="A4397" s="73"/>
      <c r="B4397" s="73"/>
    </row>
    <row r="4398" spans="1:2" x14ac:dyDescent="0.25">
      <c r="A4398" s="73"/>
      <c r="B4398" s="73"/>
    </row>
    <row r="4399" spans="1:2" x14ac:dyDescent="0.25">
      <c r="A4399" s="73"/>
      <c r="B4399" s="73"/>
    </row>
    <row r="4400" spans="1:2" x14ac:dyDescent="0.25">
      <c r="A4400" s="73"/>
      <c r="B4400" s="73"/>
    </row>
    <row r="4401" spans="1:2" x14ac:dyDescent="0.25">
      <c r="A4401" s="73"/>
      <c r="B4401" s="73"/>
    </row>
    <row r="4402" spans="1:2" x14ac:dyDescent="0.25">
      <c r="A4402" s="73"/>
      <c r="B4402" s="73"/>
    </row>
    <row r="4403" spans="1:2" x14ac:dyDescent="0.25">
      <c r="A4403" s="73"/>
      <c r="B4403" s="73"/>
    </row>
    <row r="4404" spans="1:2" x14ac:dyDescent="0.25">
      <c r="A4404" s="73"/>
      <c r="B4404" s="73"/>
    </row>
    <row r="4405" spans="1:2" x14ac:dyDescent="0.25">
      <c r="A4405" s="73"/>
      <c r="B4405" s="73"/>
    </row>
    <row r="4406" spans="1:2" x14ac:dyDescent="0.25">
      <c r="A4406" s="73"/>
      <c r="B4406" s="73"/>
    </row>
    <row r="4407" spans="1:2" x14ac:dyDescent="0.25">
      <c r="A4407" s="73"/>
      <c r="B4407" s="73"/>
    </row>
    <row r="4408" spans="1:2" x14ac:dyDescent="0.25">
      <c r="A4408" s="73"/>
      <c r="B4408" s="73"/>
    </row>
    <row r="4409" spans="1:2" x14ac:dyDescent="0.25">
      <c r="A4409" s="73"/>
      <c r="B4409" s="73"/>
    </row>
    <row r="4410" spans="1:2" x14ac:dyDescent="0.25">
      <c r="A4410" s="73"/>
      <c r="B4410" s="73"/>
    </row>
    <row r="4411" spans="1:2" x14ac:dyDescent="0.25">
      <c r="A4411" s="73"/>
      <c r="B4411" s="73"/>
    </row>
    <row r="4412" spans="1:2" x14ac:dyDescent="0.25">
      <c r="A4412" s="73"/>
      <c r="B4412" s="73"/>
    </row>
    <row r="4413" spans="1:2" x14ac:dyDescent="0.25">
      <c r="A4413" s="73"/>
      <c r="B4413" s="73"/>
    </row>
    <row r="4414" spans="1:2" x14ac:dyDescent="0.25">
      <c r="A4414" s="73"/>
      <c r="B4414" s="73"/>
    </row>
    <row r="4415" spans="1:2" x14ac:dyDescent="0.25">
      <c r="A4415" s="73"/>
      <c r="B4415" s="73"/>
    </row>
    <row r="4416" spans="1:2" x14ac:dyDescent="0.25">
      <c r="A4416" s="73"/>
      <c r="B4416" s="73"/>
    </row>
    <row r="4417" spans="1:2" x14ac:dyDescent="0.25">
      <c r="A4417" s="73"/>
      <c r="B4417" s="73"/>
    </row>
    <row r="4418" spans="1:2" x14ac:dyDescent="0.25">
      <c r="A4418" s="73"/>
      <c r="B4418" s="73"/>
    </row>
    <row r="4419" spans="1:2" x14ac:dyDescent="0.25">
      <c r="A4419" s="73"/>
      <c r="B4419" s="73"/>
    </row>
    <row r="4420" spans="1:2" x14ac:dyDescent="0.25">
      <c r="A4420" s="73"/>
      <c r="B4420" s="73"/>
    </row>
    <row r="4421" spans="1:2" x14ac:dyDescent="0.25">
      <c r="A4421" s="73"/>
      <c r="B4421" s="73"/>
    </row>
    <row r="4422" spans="1:2" x14ac:dyDescent="0.25">
      <c r="A4422" s="73"/>
      <c r="B4422" s="73"/>
    </row>
    <row r="4423" spans="1:2" x14ac:dyDescent="0.25">
      <c r="A4423" s="73"/>
      <c r="B4423" s="73"/>
    </row>
    <row r="4424" spans="1:2" x14ac:dyDescent="0.25">
      <c r="A4424" s="73"/>
      <c r="B4424" s="73"/>
    </row>
    <row r="4425" spans="1:2" x14ac:dyDescent="0.25">
      <c r="A4425" s="73"/>
      <c r="B4425" s="73"/>
    </row>
    <row r="4426" spans="1:2" x14ac:dyDescent="0.25">
      <c r="A4426" s="73"/>
      <c r="B4426" s="73"/>
    </row>
    <row r="4427" spans="1:2" x14ac:dyDescent="0.25">
      <c r="A4427" s="73"/>
      <c r="B4427" s="73"/>
    </row>
    <row r="4428" spans="1:2" x14ac:dyDescent="0.25">
      <c r="A4428" s="73"/>
      <c r="B4428" s="73"/>
    </row>
    <row r="4429" spans="1:2" x14ac:dyDescent="0.25">
      <c r="A4429" s="73"/>
      <c r="B4429" s="73"/>
    </row>
    <row r="4430" spans="1:2" x14ac:dyDescent="0.25">
      <c r="A4430" s="73"/>
      <c r="B4430" s="73"/>
    </row>
    <row r="4431" spans="1:2" x14ac:dyDescent="0.25">
      <c r="A4431" s="73"/>
      <c r="B4431" s="73"/>
    </row>
    <row r="4432" spans="1:2" x14ac:dyDescent="0.25">
      <c r="A4432" s="73"/>
      <c r="B4432" s="73"/>
    </row>
    <row r="4433" spans="1:2" x14ac:dyDescent="0.25">
      <c r="A4433" s="73"/>
      <c r="B4433" s="73"/>
    </row>
    <row r="4434" spans="1:2" x14ac:dyDescent="0.25">
      <c r="A4434" s="73"/>
      <c r="B4434" s="73"/>
    </row>
    <row r="4435" spans="1:2" x14ac:dyDescent="0.25">
      <c r="A4435" s="73"/>
      <c r="B4435" s="73"/>
    </row>
    <row r="4436" spans="1:2" x14ac:dyDescent="0.25">
      <c r="A4436" s="73"/>
      <c r="B4436" s="73"/>
    </row>
    <row r="4437" spans="1:2" x14ac:dyDescent="0.25">
      <c r="A4437" s="73"/>
      <c r="B4437" s="73"/>
    </row>
    <row r="4438" spans="1:2" x14ac:dyDescent="0.25">
      <c r="A4438" s="73"/>
      <c r="B4438" s="73"/>
    </row>
    <row r="4439" spans="1:2" x14ac:dyDescent="0.25">
      <c r="A4439" s="73"/>
      <c r="B4439" s="73"/>
    </row>
    <row r="4440" spans="1:2" x14ac:dyDescent="0.25">
      <c r="A4440" s="73"/>
      <c r="B4440" s="73"/>
    </row>
    <row r="4441" spans="1:2" x14ac:dyDescent="0.25">
      <c r="A4441" s="73"/>
      <c r="B4441" s="73"/>
    </row>
    <row r="4442" spans="1:2" x14ac:dyDescent="0.25">
      <c r="A4442" s="73"/>
      <c r="B4442" s="73"/>
    </row>
    <row r="4443" spans="1:2" x14ac:dyDescent="0.25">
      <c r="A4443" s="73"/>
      <c r="B4443" s="73"/>
    </row>
    <row r="4444" spans="1:2" x14ac:dyDescent="0.25">
      <c r="A4444" s="73"/>
      <c r="B4444" s="73"/>
    </row>
    <row r="4445" spans="1:2" x14ac:dyDescent="0.25">
      <c r="A4445" s="73"/>
      <c r="B4445" s="73"/>
    </row>
    <row r="4446" spans="1:2" x14ac:dyDescent="0.25">
      <c r="A4446" s="73"/>
      <c r="B4446" s="73"/>
    </row>
    <row r="4447" spans="1:2" x14ac:dyDescent="0.25">
      <c r="A4447" s="73"/>
      <c r="B4447" s="73"/>
    </row>
    <row r="4448" spans="1:2" x14ac:dyDescent="0.25">
      <c r="A4448" s="73"/>
      <c r="B4448" s="73"/>
    </row>
    <row r="4449" spans="1:2" x14ac:dyDescent="0.25">
      <c r="A4449" s="73"/>
      <c r="B4449" s="73"/>
    </row>
    <row r="4450" spans="1:2" x14ac:dyDescent="0.25">
      <c r="A4450" s="73"/>
      <c r="B4450" s="73"/>
    </row>
    <row r="4451" spans="1:2" x14ac:dyDescent="0.25">
      <c r="A4451" s="73"/>
      <c r="B4451" s="73"/>
    </row>
    <row r="4452" spans="1:2" x14ac:dyDescent="0.25">
      <c r="A4452" s="73"/>
      <c r="B4452" s="73"/>
    </row>
    <row r="4453" spans="1:2" x14ac:dyDescent="0.25">
      <c r="A4453" s="73"/>
      <c r="B4453" s="73"/>
    </row>
    <row r="4454" spans="1:2" x14ac:dyDescent="0.25">
      <c r="A4454" s="73"/>
      <c r="B4454" s="73"/>
    </row>
    <row r="4455" spans="1:2" x14ac:dyDescent="0.25">
      <c r="A4455" s="73"/>
      <c r="B4455" s="73"/>
    </row>
    <row r="4456" spans="1:2" x14ac:dyDescent="0.25">
      <c r="A4456" s="73"/>
      <c r="B4456" s="73"/>
    </row>
    <row r="4457" spans="1:2" x14ac:dyDescent="0.25">
      <c r="A4457" s="73"/>
      <c r="B4457" s="73"/>
    </row>
    <row r="4458" spans="1:2" x14ac:dyDescent="0.25">
      <c r="A4458" s="73"/>
      <c r="B4458" s="73"/>
    </row>
    <row r="4459" spans="1:2" x14ac:dyDescent="0.25">
      <c r="A4459" s="73"/>
      <c r="B4459" s="73"/>
    </row>
    <row r="4460" spans="1:2" x14ac:dyDescent="0.25">
      <c r="A4460" s="73"/>
      <c r="B4460" s="73"/>
    </row>
    <row r="4461" spans="1:2" x14ac:dyDescent="0.25">
      <c r="A4461" s="73"/>
      <c r="B4461" s="73"/>
    </row>
    <row r="4462" spans="1:2" x14ac:dyDescent="0.25">
      <c r="A4462" s="73"/>
      <c r="B4462" s="73"/>
    </row>
    <row r="4463" spans="1:2" x14ac:dyDescent="0.25">
      <c r="A4463" s="73"/>
      <c r="B4463" s="73"/>
    </row>
    <row r="4464" spans="1:2" x14ac:dyDescent="0.25">
      <c r="A4464" s="73"/>
      <c r="B4464" s="73"/>
    </row>
    <row r="4465" spans="1:2" x14ac:dyDescent="0.25">
      <c r="A4465" s="73"/>
      <c r="B4465" s="73"/>
    </row>
    <row r="4466" spans="1:2" x14ac:dyDescent="0.25">
      <c r="A4466" s="73"/>
      <c r="B4466" s="73"/>
    </row>
    <row r="4467" spans="1:2" x14ac:dyDescent="0.25">
      <c r="A4467" s="73"/>
      <c r="B4467" s="73"/>
    </row>
    <row r="4468" spans="1:2" x14ac:dyDescent="0.25">
      <c r="A4468" s="73"/>
      <c r="B4468" s="73"/>
    </row>
    <row r="4469" spans="1:2" x14ac:dyDescent="0.25">
      <c r="A4469" s="73"/>
      <c r="B4469" s="73"/>
    </row>
    <row r="4470" spans="1:2" x14ac:dyDescent="0.25">
      <c r="A4470" s="73"/>
      <c r="B4470" s="73"/>
    </row>
    <row r="4471" spans="1:2" x14ac:dyDescent="0.25">
      <c r="A4471" s="73"/>
      <c r="B4471" s="73"/>
    </row>
    <row r="4472" spans="1:2" x14ac:dyDescent="0.25">
      <c r="A4472" s="73"/>
      <c r="B4472" s="73"/>
    </row>
    <row r="4473" spans="1:2" x14ac:dyDescent="0.25">
      <c r="A4473" s="73"/>
      <c r="B4473" s="73"/>
    </row>
    <row r="4474" spans="1:2" x14ac:dyDescent="0.25">
      <c r="A4474" s="73"/>
      <c r="B4474" s="73"/>
    </row>
    <row r="4475" spans="1:2" x14ac:dyDescent="0.25">
      <c r="A4475" s="73"/>
      <c r="B4475" s="73"/>
    </row>
    <row r="4476" spans="1:2" x14ac:dyDescent="0.25">
      <c r="A4476" s="73"/>
      <c r="B4476" s="73"/>
    </row>
    <row r="4477" spans="1:2" x14ac:dyDescent="0.25">
      <c r="A4477" s="73"/>
      <c r="B4477" s="73"/>
    </row>
    <row r="4478" spans="1:2" x14ac:dyDescent="0.25">
      <c r="A4478" s="73"/>
      <c r="B4478" s="73"/>
    </row>
    <row r="4479" spans="1:2" x14ac:dyDescent="0.25">
      <c r="A4479" s="73"/>
      <c r="B4479" s="73"/>
    </row>
    <row r="4480" spans="1:2" x14ac:dyDescent="0.25">
      <c r="A4480" s="73"/>
      <c r="B4480" s="73"/>
    </row>
    <row r="4481" spans="1:2" x14ac:dyDescent="0.25">
      <c r="A4481" s="73"/>
      <c r="B4481" s="73"/>
    </row>
    <row r="4482" spans="1:2" x14ac:dyDescent="0.25">
      <c r="A4482" s="73"/>
      <c r="B4482" s="73"/>
    </row>
    <row r="4483" spans="1:2" x14ac:dyDescent="0.25">
      <c r="A4483" s="73"/>
      <c r="B4483" s="73"/>
    </row>
    <row r="4484" spans="1:2" x14ac:dyDescent="0.25">
      <c r="A4484" s="73"/>
      <c r="B4484" s="73"/>
    </row>
    <row r="4485" spans="1:2" x14ac:dyDescent="0.25">
      <c r="A4485" s="73"/>
      <c r="B4485" s="73"/>
    </row>
    <row r="4486" spans="1:2" x14ac:dyDescent="0.25">
      <c r="A4486" s="73"/>
      <c r="B4486" s="73"/>
    </row>
    <row r="4487" spans="1:2" x14ac:dyDescent="0.25">
      <c r="A4487" s="73"/>
      <c r="B4487" s="73"/>
    </row>
    <row r="4488" spans="1:2" x14ac:dyDescent="0.25">
      <c r="A4488" s="73"/>
      <c r="B4488" s="73"/>
    </row>
    <row r="4489" spans="1:2" x14ac:dyDescent="0.25">
      <c r="A4489" s="73"/>
      <c r="B4489" s="73"/>
    </row>
    <row r="4490" spans="1:2" x14ac:dyDescent="0.25">
      <c r="A4490" s="73"/>
      <c r="B4490" s="73"/>
    </row>
    <row r="4491" spans="1:2" x14ac:dyDescent="0.25">
      <c r="A4491" s="73"/>
      <c r="B4491" s="73"/>
    </row>
    <row r="4492" spans="1:2" x14ac:dyDescent="0.25">
      <c r="A4492" s="73"/>
      <c r="B4492" s="73"/>
    </row>
    <row r="4493" spans="1:2" x14ac:dyDescent="0.25">
      <c r="A4493" s="73"/>
      <c r="B4493" s="73"/>
    </row>
    <row r="4494" spans="1:2" x14ac:dyDescent="0.25">
      <c r="A4494" s="73"/>
      <c r="B4494" s="73"/>
    </row>
    <row r="4495" spans="1:2" x14ac:dyDescent="0.25">
      <c r="A4495" s="73"/>
      <c r="B4495" s="73"/>
    </row>
    <row r="4496" spans="1:2" x14ac:dyDescent="0.25">
      <c r="A4496" s="73"/>
      <c r="B4496" s="73"/>
    </row>
    <row r="4497" spans="1:2" x14ac:dyDescent="0.25">
      <c r="A4497" s="73"/>
      <c r="B4497" s="73"/>
    </row>
    <row r="4498" spans="1:2" x14ac:dyDescent="0.25">
      <c r="A4498" s="73"/>
      <c r="B4498" s="73"/>
    </row>
    <row r="4499" spans="1:2" x14ac:dyDescent="0.25">
      <c r="A4499" s="73"/>
      <c r="B4499" s="73"/>
    </row>
    <row r="4500" spans="1:2" x14ac:dyDescent="0.25">
      <c r="A4500" s="73"/>
      <c r="B4500" s="73"/>
    </row>
    <row r="4501" spans="1:2" x14ac:dyDescent="0.25">
      <c r="A4501" s="73"/>
      <c r="B4501" s="73"/>
    </row>
    <row r="4502" spans="1:2" x14ac:dyDescent="0.25">
      <c r="A4502" s="73"/>
      <c r="B4502" s="73"/>
    </row>
    <row r="4503" spans="1:2" x14ac:dyDescent="0.25">
      <c r="A4503" s="73"/>
      <c r="B4503" s="73"/>
    </row>
    <row r="4504" spans="1:2" x14ac:dyDescent="0.25">
      <c r="A4504" s="73"/>
      <c r="B4504" s="73"/>
    </row>
    <row r="4505" spans="1:2" x14ac:dyDescent="0.25">
      <c r="A4505" s="73"/>
      <c r="B4505" s="73"/>
    </row>
    <row r="4506" spans="1:2" x14ac:dyDescent="0.25">
      <c r="A4506" s="73"/>
      <c r="B4506" s="73"/>
    </row>
    <row r="4507" spans="1:2" x14ac:dyDescent="0.25">
      <c r="A4507" s="73"/>
      <c r="B4507" s="73"/>
    </row>
    <row r="4508" spans="1:2" x14ac:dyDescent="0.25">
      <c r="A4508" s="73"/>
      <c r="B4508" s="73"/>
    </row>
    <row r="4509" spans="1:2" x14ac:dyDescent="0.25">
      <c r="A4509" s="73"/>
      <c r="B4509" s="73"/>
    </row>
    <row r="4510" spans="1:2" x14ac:dyDescent="0.25">
      <c r="A4510" s="73"/>
      <c r="B4510" s="73"/>
    </row>
    <row r="4511" spans="1:2" x14ac:dyDescent="0.25">
      <c r="A4511" s="73"/>
      <c r="B4511" s="73"/>
    </row>
    <row r="4512" spans="1:2" x14ac:dyDescent="0.25">
      <c r="A4512" s="73"/>
      <c r="B4512" s="73"/>
    </row>
    <row r="4513" spans="1:2" x14ac:dyDescent="0.25">
      <c r="A4513" s="73"/>
      <c r="B4513" s="73"/>
    </row>
    <row r="4514" spans="1:2" x14ac:dyDescent="0.25">
      <c r="A4514" s="73"/>
      <c r="B4514" s="73"/>
    </row>
    <row r="4515" spans="1:2" x14ac:dyDescent="0.25">
      <c r="A4515" s="73"/>
      <c r="B4515" s="73"/>
    </row>
    <row r="4516" spans="1:2" x14ac:dyDescent="0.25">
      <c r="A4516" s="73"/>
      <c r="B4516" s="73"/>
    </row>
    <row r="4517" spans="1:2" x14ac:dyDescent="0.25">
      <c r="A4517" s="73"/>
      <c r="B4517" s="73"/>
    </row>
    <row r="4518" spans="1:2" x14ac:dyDescent="0.25">
      <c r="A4518" s="73"/>
      <c r="B4518" s="73"/>
    </row>
    <row r="4519" spans="1:2" x14ac:dyDescent="0.25">
      <c r="A4519" s="73"/>
      <c r="B4519" s="73"/>
    </row>
    <row r="4520" spans="1:2" x14ac:dyDescent="0.25">
      <c r="A4520" s="73"/>
      <c r="B4520" s="73"/>
    </row>
    <row r="4521" spans="1:2" x14ac:dyDescent="0.25">
      <c r="A4521" s="73"/>
      <c r="B4521" s="73"/>
    </row>
    <row r="4522" spans="1:2" x14ac:dyDescent="0.25">
      <c r="A4522" s="73"/>
      <c r="B4522" s="73"/>
    </row>
    <row r="4523" spans="1:2" x14ac:dyDescent="0.25">
      <c r="A4523" s="73"/>
      <c r="B4523" s="73"/>
    </row>
    <row r="4524" spans="1:2" x14ac:dyDescent="0.25">
      <c r="A4524" s="73"/>
      <c r="B4524" s="73"/>
    </row>
    <row r="4525" spans="1:2" x14ac:dyDescent="0.25">
      <c r="A4525" s="73"/>
      <c r="B4525" s="73"/>
    </row>
    <row r="4526" spans="1:2" x14ac:dyDescent="0.25">
      <c r="A4526" s="73"/>
      <c r="B4526" s="73"/>
    </row>
    <row r="4527" spans="1:2" x14ac:dyDescent="0.25">
      <c r="A4527" s="73"/>
      <c r="B4527" s="73"/>
    </row>
    <row r="4528" spans="1:2" x14ac:dyDescent="0.25">
      <c r="A4528" s="73"/>
      <c r="B4528" s="73"/>
    </row>
    <row r="4529" spans="1:2" x14ac:dyDescent="0.25">
      <c r="A4529" s="73"/>
      <c r="B4529" s="73"/>
    </row>
    <row r="4530" spans="1:2" x14ac:dyDescent="0.25">
      <c r="A4530" s="73"/>
      <c r="B4530" s="73"/>
    </row>
    <row r="4531" spans="1:2" x14ac:dyDescent="0.25">
      <c r="A4531" s="73"/>
      <c r="B4531" s="73"/>
    </row>
    <row r="4532" spans="1:2" x14ac:dyDescent="0.25">
      <c r="A4532" s="73"/>
      <c r="B4532" s="73"/>
    </row>
    <row r="4533" spans="1:2" x14ac:dyDescent="0.25">
      <c r="A4533" s="73"/>
      <c r="B4533" s="73"/>
    </row>
    <row r="4534" spans="1:2" x14ac:dyDescent="0.25">
      <c r="A4534" s="73"/>
      <c r="B4534" s="73"/>
    </row>
    <row r="4535" spans="1:2" x14ac:dyDescent="0.25">
      <c r="A4535" s="73"/>
      <c r="B4535" s="73"/>
    </row>
    <row r="4536" spans="1:2" x14ac:dyDescent="0.25">
      <c r="A4536" s="73"/>
      <c r="B4536" s="73"/>
    </row>
    <row r="4537" spans="1:2" x14ac:dyDescent="0.25">
      <c r="A4537" s="73"/>
      <c r="B4537" s="73"/>
    </row>
    <row r="4538" spans="1:2" x14ac:dyDescent="0.25">
      <c r="A4538" s="73"/>
      <c r="B4538" s="73"/>
    </row>
    <row r="4539" spans="1:2" x14ac:dyDescent="0.25">
      <c r="A4539" s="73"/>
      <c r="B4539" s="73"/>
    </row>
    <row r="4540" spans="1:2" x14ac:dyDescent="0.25">
      <c r="A4540" s="73"/>
      <c r="B4540" s="73"/>
    </row>
    <row r="4541" spans="1:2" x14ac:dyDescent="0.25">
      <c r="A4541" s="73"/>
      <c r="B4541" s="73"/>
    </row>
    <row r="4542" spans="1:2" x14ac:dyDescent="0.25">
      <c r="A4542" s="73"/>
      <c r="B4542" s="73"/>
    </row>
    <row r="4543" spans="1:2" x14ac:dyDescent="0.25">
      <c r="A4543" s="73"/>
      <c r="B4543" s="73"/>
    </row>
    <row r="4544" spans="1:2" x14ac:dyDescent="0.25">
      <c r="A4544" s="73"/>
      <c r="B4544" s="73"/>
    </row>
    <row r="4545" spans="1:2" x14ac:dyDescent="0.25">
      <c r="A4545" s="73"/>
      <c r="B4545" s="73"/>
    </row>
    <row r="4546" spans="1:2" x14ac:dyDescent="0.25">
      <c r="A4546" s="73"/>
      <c r="B4546" s="73"/>
    </row>
    <row r="4547" spans="1:2" x14ac:dyDescent="0.25">
      <c r="A4547" s="73"/>
      <c r="B4547" s="73"/>
    </row>
    <row r="4548" spans="1:2" x14ac:dyDescent="0.25">
      <c r="A4548" s="73"/>
      <c r="B4548" s="73"/>
    </row>
    <row r="4549" spans="1:2" x14ac:dyDescent="0.25">
      <c r="A4549" s="73"/>
      <c r="B4549" s="73"/>
    </row>
    <row r="4550" spans="1:2" x14ac:dyDescent="0.25">
      <c r="A4550" s="73"/>
      <c r="B4550" s="73"/>
    </row>
    <row r="4551" spans="1:2" x14ac:dyDescent="0.25">
      <c r="A4551" s="73"/>
      <c r="B4551" s="73"/>
    </row>
    <row r="4552" spans="1:2" x14ac:dyDescent="0.25">
      <c r="A4552" s="73"/>
      <c r="B4552" s="73"/>
    </row>
    <row r="4553" spans="1:2" x14ac:dyDescent="0.25">
      <c r="A4553" s="73"/>
      <c r="B4553" s="73"/>
    </row>
    <row r="4554" spans="1:2" x14ac:dyDescent="0.25">
      <c r="A4554" s="73"/>
      <c r="B4554" s="73"/>
    </row>
    <row r="4555" spans="1:2" x14ac:dyDescent="0.25">
      <c r="A4555" s="73"/>
      <c r="B4555" s="73"/>
    </row>
    <row r="4556" spans="1:2" x14ac:dyDescent="0.25">
      <c r="A4556" s="73"/>
      <c r="B4556" s="73"/>
    </row>
    <row r="4557" spans="1:2" x14ac:dyDescent="0.25">
      <c r="A4557" s="73"/>
      <c r="B4557" s="73"/>
    </row>
    <row r="4558" spans="1:2" x14ac:dyDescent="0.25">
      <c r="A4558" s="73"/>
      <c r="B4558" s="73"/>
    </row>
    <row r="4559" spans="1:2" x14ac:dyDescent="0.25">
      <c r="A4559" s="73"/>
      <c r="B4559" s="73"/>
    </row>
    <row r="4560" spans="1:2" x14ac:dyDescent="0.25">
      <c r="A4560" s="73"/>
      <c r="B4560" s="73"/>
    </row>
    <row r="4561" spans="1:2" x14ac:dyDescent="0.25">
      <c r="A4561" s="73"/>
      <c r="B4561" s="73"/>
    </row>
    <row r="4562" spans="1:2" x14ac:dyDescent="0.25">
      <c r="A4562" s="73"/>
      <c r="B4562" s="73"/>
    </row>
    <row r="4563" spans="1:2" x14ac:dyDescent="0.25">
      <c r="A4563" s="73"/>
      <c r="B4563" s="73"/>
    </row>
    <row r="4564" spans="1:2" x14ac:dyDescent="0.25">
      <c r="A4564" s="73"/>
      <c r="B4564" s="73"/>
    </row>
    <row r="4565" spans="1:2" x14ac:dyDescent="0.25">
      <c r="A4565" s="73"/>
      <c r="B4565" s="73"/>
    </row>
    <row r="4566" spans="1:2" x14ac:dyDescent="0.25">
      <c r="A4566" s="73"/>
      <c r="B4566" s="73"/>
    </row>
    <row r="4567" spans="1:2" x14ac:dyDescent="0.25">
      <c r="A4567" s="73"/>
      <c r="B4567" s="73"/>
    </row>
    <row r="4568" spans="1:2" x14ac:dyDescent="0.25">
      <c r="A4568" s="73"/>
      <c r="B4568" s="73"/>
    </row>
    <row r="4569" spans="1:2" x14ac:dyDescent="0.25">
      <c r="A4569" s="73"/>
      <c r="B4569" s="73"/>
    </row>
    <row r="4570" spans="1:2" x14ac:dyDescent="0.25">
      <c r="A4570" s="73"/>
      <c r="B4570" s="73"/>
    </row>
    <row r="4571" spans="1:2" x14ac:dyDescent="0.25">
      <c r="A4571" s="73"/>
      <c r="B4571" s="73"/>
    </row>
    <row r="4572" spans="1:2" x14ac:dyDescent="0.25">
      <c r="A4572" s="73"/>
      <c r="B4572" s="73"/>
    </row>
    <row r="4573" spans="1:2" x14ac:dyDescent="0.25">
      <c r="A4573" s="73"/>
      <c r="B4573" s="73"/>
    </row>
    <row r="4574" spans="1:2" x14ac:dyDescent="0.25">
      <c r="A4574" s="73"/>
      <c r="B4574" s="73"/>
    </row>
    <row r="4575" spans="1:2" x14ac:dyDescent="0.25">
      <c r="A4575" s="73"/>
      <c r="B4575" s="73"/>
    </row>
    <row r="4576" spans="1:2" x14ac:dyDescent="0.25">
      <c r="A4576" s="73"/>
      <c r="B4576" s="73"/>
    </row>
    <row r="4577" spans="1:2" x14ac:dyDescent="0.25">
      <c r="A4577" s="73"/>
      <c r="B4577" s="73"/>
    </row>
    <row r="4578" spans="1:2" x14ac:dyDescent="0.25">
      <c r="A4578" s="73"/>
      <c r="B4578" s="73"/>
    </row>
    <row r="4579" spans="1:2" x14ac:dyDescent="0.25">
      <c r="A4579" s="73"/>
      <c r="B4579" s="73"/>
    </row>
    <row r="4580" spans="1:2" x14ac:dyDescent="0.25">
      <c r="A4580" s="73"/>
      <c r="B4580" s="73"/>
    </row>
    <row r="4581" spans="1:2" x14ac:dyDescent="0.25">
      <c r="A4581" s="73"/>
      <c r="B4581" s="73"/>
    </row>
    <row r="4582" spans="1:2" x14ac:dyDescent="0.25">
      <c r="A4582" s="73"/>
      <c r="B4582" s="73"/>
    </row>
    <row r="4583" spans="1:2" x14ac:dyDescent="0.25">
      <c r="A4583" s="73"/>
      <c r="B4583" s="73"/>
    </row>
    <row r="4584" spans="1:2" x14ac:dyDescent="0.25">
      <c r="A4584" s="73"/>
      <c r="B4584" s="73"/>
    </row>
    <row r="4585" spans="1:2" x14ac:dyDescent="0.25">
      <c r="A4585" s="73"/>
      <c r="B4585" s="73"/>
    </row>
    <row r="4586" spans="1:2" x14ac:dyDescent="0.25">
      <c r="A4586" s="73"/>
      <c r="B4586" s="73"/>
    </row>
    <row r="4587" spans="1:2" x14ac:dyDescent="0.25">
      <c r="A4587" s="73"/>
      <c r="B4587" s="73"/>
    </row>
    <row r="4588" spans="1:2" x14ac:dyDescent="0.25">
      <c r="A4588" s="73"/>
      <c r="B4588" s="73"/>
    </row>
    <row r="4589" spans="1:2" x14ac:dyDescent="0.25">
      <c r="A4589" s="73"/>
      <c r="B4589" s="73"/>
    </row>
    <row r="4590" spans="1:2" x14ac:dyDescent="0.25">
      <c r="A4590" s="73"/>
      <c r="B4590" s="73"/>
    </row>
    <row r="4591" spans="1:2" x14ac:dyDescent="0.25">
      <c r="A4591" s="73"/>
      <c r="B4591" s="73"/>
    </row>
    <row r="4592" spans="1:2" x14ac:dyDescent="0.25">
      <c r="A4592" s="73"/>
      <c r="B4592" s="73"/>
    </row>
    <row r="4593" spans="1:2" x14ac:dyDescent="0.25">
      <c r="A4593" s="73"/>
      <c r="B4593" s="73"/>
    </row>
    <row r="4594" spans="1:2" x14ac:dyDescent="0.25">
      <c r="A4594" s="73"/>
      <c r="B4594" s="73"/>
    </row>
    <row r="4595" spans="1:2" x14ac:dyDescent="0.25">
      <c r="A4595" s="73"/>
      <c r="B4595" s="73"/>
    </row>
    <row r="4596" spans="1:2" x14ac:dyDescent="0.25">
      <c r="A4596" s="73"/>
      <c r="B4596" s="73"/>
    </row>
    <row r="4597" spans="1:2" x14ac:dyDescent="0.25">
      <c r="A4597" s="73"/>
      <c r="B4597" s="73"/>
    </row>
    <row r="4598" spans="1:2" x14ac:dyDescent="0.25">
      <c r="A4598" s="73"/>
      <c r="B4598" s="73"/>
    </row>
    <row r="4599" spans="1:2" x14ac:dyDescent="0.25">
      <c r="A4599" s="73"/>
      <c r="B4599" s="73"/>
    </row>
    <row r="4600" spans="1:2" x14ac:dyDescent="0.25">
      <c r="A4600" s="73"/>
      <c r="B4600" s="73"/>
    </row>
    <row r="4601" spans="1:2" x14ac:dyDescent="0.25">
      <c r="A4601" s="73"/>
      <c r="B4601" s="73"/>
    </row>
    <row r="4602" spans="1:2" x14ac:dyDescent="0.25">
      <c r="A4602" s="73"/>
      <c r="B4602" s="73"/>
    </row>
    <row r="4603" spans="1:2" x14ac:dyDescent="0.25">
      <c r="A4603" s="73"/>
      <c r="B4603" s="73"/>
    </row>
    <row r="4604" spans="1:2" x14ac:dyDescent="0.25">
      <c r="A4604" s="73"/>
      <c r="B4604" s="73"/>
    </row>
    <row r="4605" spans="1:2" x14ac:dyDescent="0.25">
      <c r="A4605" s="73"/>
      <c r="B4605" s="73"/>
    </row>
    <row r="4606" spans="1:2" x14ac:dyDescent="0.25">
      <c r="A4606" s="73"/>
      <c r="B4606" s="73"/>
    </row>
    <row r="4607" spans="1:2" x14ac:dyDescent="0.25">
      <c r="A4607" s="73"/>
      <c r="B4607" s="73"/>
    </row>
    <row r="4608" spans="1:2" x14ac:dyDescent="0.25">
      <c r="A4608" s="73"/>
      <c r="B4608" s="73"/>
    </row>
    <row r="4609" spans="1:2" x14ac:dyDescent="0.25">
      <c r="A4609" s="73"/>
      <c r="B4609" s="73"/>
    </row>
    <row r="4610" spans="1:2" x14ac:dyDescent="0.25">
      <c r="A4610" s="73"/>
      <c r="B4610" s="73"/>
    </row>
    <row r="4611" spans="1:2" x14ac:dyDescent="0.25">
      <c r="A4611" s="73"/>
      <c r="B4611" s="73"/>
    </row>
    <row r="4612" spans="1:2" x14ac:dyDescent="0.25">
      <c r="A4612" s="73"/>
      <c r="B4612" s="73"/>
    </row>
    <row r="4613" spans="1:2" x14ac:dyDescent="0.25">
      <c r="A4613" s="73"/>
      <c r="B4613" s="73"/>
    </row>
    <row r="4614" spans="1:2" x14ac:dyDescent="0.25">
      <c r="A4614" s="73"/>
      <c r="B4614" s="73"/>
    </row>
    <row r="4615" spans="1:2" x14ac:dyDescent="0.25">
      <c r="A4615" s="73"/>
      <c r="B4615" s="73"/>
    </row>
    <row r="4616" spans="1:2" x14ac:dyDescent="0.25">
      <c r="A4616" s="73"/>
      <c r="B4616" s="73"/>
    </row>
    <row r="4617" spans="1:2" x14ac:dyDescent="0.25">
      <c r="A4617" s="73"/>
      <c r="B4617" s="73"/>
    </row>
    <row r="4618" spans="1:2" x14ac:dyDescent="0.25">
      <c r="A4618" s="73"/>
      <c r="B4618" s="73"/>
    </row>
    <row r="4619" spans="1:2" x14ac:dyDescent="0.25">
      <c r="A4619" s="73"/>
      <c r="B4619" s="73"/>
    </row>
    <row r="4620" spans="1:2" x14ac:dyDescent="0.25">
      <c r="A4620" s="73"/>
      <c r="B4620" s="73"/>
    </row>
    <row r="4621" spans="1:2" x14ac:dyDescent="0.25">
      <c r="A4621" s="73"/>
      <c r="B4621" s="73"/>
    </row>
    <row r="4622" spans="1:2" x14ac:dyDescent="0.25">
      <c r="A4622" s="73"/>
      <c r="B4622" s="73"/>
    </row>
    <row r="4623" spans="1:2" x14ac:dyDescent="0.25">
      <c r="A4623" s="73"/>
      <c r="B4623" s="73"/>
    </row>
    <row r="4624" spans="1:2" x14ac:dyDescent="0.25">
      <c r="A4624" s="73"/>
      <c r="B4624" s="73"/>
    </row>
    <row r="4625" spans="1:2" x14ac:dyDescent="0.25">
      <c r="A4625" s="73"/>
      <c r="B4625" s="73"/>
    </row>
    <row r="4626" spans="1:2" x14ac:dyDescent="0.25">
      <c r="A4626" s="73"/>
      <c r="B4626" s="73"/>
    </row>
    <row r="4627" spans="1:2" x14ac:dyDescent="0.25">
      <c r="A4627" s="73"/>
      <c r="B4627" s="73"/>
    </row>
    <row r="4628" spans="1:2" x14ac:dyDescent="0.25">
      <c r="A4628" s="73"/>
      <c r="B4628" s="73"/>
    </row>
    <row r="4629" spans="1:2" x14ac:dyDescent="0.25">
      <c r="A4629" s="73"/>
      <c r="B4629" s="73"/>
    </row>
    <row r="4630" spans="1:2" x14ac:dyDescent="0.25">
      <c r="A4630" s="73"/>
      <c r="B4630" s="73"/>
    </row>
    <row r="4631" spans="1:2" x14ac:dyDescent="0.25">
      <c r="A4631" s="73"/>
      <c r="B4631" s="73"/>
    </row>
    <row r="4632" spans="1:2" x14ac:dyDescent="0.25">
      <c r="A4632" s="73"/>
      <c r="B4632" s="73"/>
    </row>
    <row r="4633" spans="1:2" x14ac:dyDescent="0.25">
      <c r="A4633" s="73"/>
      <c r="B4633" s="73"/>
    </row>
    <row r="4634" spans="1:2" x14ac:dyDescent="0.25">
      <c r="A4634" s="73"/>
      <c r="B4634" s="73"/>
    </row>
    <row r="4635" spans="1:2" x14ac:dyDescent="0.25">
      <c r="A4635" s="73"/>
      <c r="B4635" s="73"/>
    </row>
    <row r="4636" spans="1:2" x14ac:dyDescent="0.25">
      <c r="A4636" s="73"/>
      <c r="B4636" s="73"/>
    </row>
    <row r="4637" spans="1:2" x14ac:dyDescent="0.25">
      <c r="A4637" s="73"/>
      <c r="B4637" s="73"/>
    </row>
    <row r="4638" spans="1:2" x14ac:dyDescent="0.25">
      <c r="A4638" s="73"/>
      <c r="B4638" s="73"/>
    </row>
    <row r="4639" spans="1:2" x14ac:dyDescent="0.25">
      <c r="A4639" s="73"/>
      <c r="B4639" s="73"/>
    </row>
    <row r="4640" spans="1:2" x14ac:dyDescent="0.25">
      <c r="A4640" s="73"/>
      <c r="B4640" s="73"/>
    </row>
    <row r="4641" spans="1:2" x14ac:dyDescent="0.25">
      <c r="A4641" s="73"/>
      <c r="B4641" s="73"/>
    </row>
    <row r="4642" spans="1:2" x14ac:dyDescent="0.25">
      <c r="A4642" s="73"/>
      <c r="B4642" s="73"/>
    </row>
    <row r="4643" spans="1:2" x14ac:dyDescent="0.25">
      <c r="A4643" s="73"/>
      <c r="B4643" s="73"/>
    </row>
    <row r="4644" spans="1:2" x14ac:dyDescent="0.25">
      <c r="A4644" s="73"/>
      <c r="B4644" s="73"/>
    </row>
    <row r="4645" spans="1:2" x14ac:dyDescent="0.25">
      <c r="A4645" s="73"/>
      <c r="B4645" s="73"/>
    </row>
    <row r="4646" spans="1:2" x14ac:dyDescent="0.25">
      <c r="A4646" s="73"/>
      <c r="B4646" s="73"/>
    </row>
    <row r="4647" spans="1:2" x14ac:dyDescent="0.25">
      <c r="A4647" s="73"/>
      <c r="B4647" s="73"/>
    </row>
    <row r="4648" spans="1:2" x14ac:dyDescent="0.25">
      <c r="A4648" s="73"/>
      <c r="B4648" s="73"/>
    </row>
    <row r="4649" spans="1:2" x14ac:dyDescent="0.25">
      <c r="A4649" s="73"/>
      <c r="B4649" s="73"/>
    </row>
    <row r="4650" spans="1:2" x14ac:dyDescent="0.25">
      <c r="A4650" s="73"/>
      <c r="B4650" s="73"/>
    </row>
    <row r="4651" spans="1:2" x14ac:dyDescent="0.25">
      <c r="A4651" s="73"/>
      <c r="B4651" s="73"/>
    </row>
    <row r="4652" spans="1:2" x14ac:dyDescent="0.25">
      <c r="A4652" s="73"/>
      <c r="B4652" s="73"/>
    </row>
    <row r="4653" spans="1:2" x14ac:dyDescent="0.25">
      <c r="A4653" s="73"/>
      <c r="B4653" s="73"/>
    </row>
    <row r="4654" spans="1:2" x14ac:dyDescent="0.25">
      <c r="A4654" s="73"/>
      <c r="B4654" s="73"/>
    </row>
    <row r="4655" spans="1:2" x14ac:dyDescent="0.25">
      <c r="A4655" s="73"/>
      <c r="B4655" s="73"/>
    </row>
    <row r="4656" spans="1:2" x14ac:dyDescent="0.25">
      <c r="A4656" s="73"/>
      <c r="B4656" s="73"/>
    </row>
    <row r="4657" spans="1:2" x14ac:dyDescent="0.25">
      <c r="A4657" s="73"/>
      <c r="B4657" s="73"/>
    </row>
    <row r="4658" spans="1:2" x14ac:dyDescent="0.25">
      <c r="A4658" s="73"/>
      <c r="B4658" s="73"/>
    </row>
    <row r="4659" spans="1:2" x14ac:dyDescent="0.25">
      <c r="A4659" s="73"/>
      <c r="B4659" s="73"/>
    </row>
    <row r="4660" spans="1:2" x14ac:dyDescent="0.25">
      <c r="A4660" s="73"/>
      <c r="B4660" s="73"/>
    </row>
    <row r="4661" spans="1:2" x14ac:dyDescent="0.25">
      <c r="A4661" s="73"/>
      <c r="B4661" s="73"/>
    </row>
    <row r="4662" spans="1:2" x14ac:dyDescent="0.25">
      <c r="A4662" s="73"/>
      <c r="B4662" s="73"/>
    </row>
    <row r="4663" spans="1:2" x14ac:dyDescent="0.25">
      <c r="A4663" s="73"/>
      <c r="B4663" s="73"/>
    </row>
    <row r="4664" spans="1:2" x14ac:dyDescent="0.25">
      <c r="A4664" s="73"/>
      <c r="B4664" s="73"/>
    </row>
    <row r="4665" spans="1:2" x14ac:dyDescent="0.25">
      <c r="A4665" s="73"/>
      <c r="B4665" s="73"/>
    </row>
    <row r="4666" spans="1:2" x14ac:dyDescent="0.25">
      <c r="A4666" s="73"/>
      <c r="B4666" s="73"/>
    </row>
    <row r="4667" spans="1:2" x14ac:dyDescent="0.25">
      <c r="A4667" s="73"/>
      <c r="B4667" s="73"/>
    </row>
    <row r="4668" spans="1:2" x14ac:dyDescent="0.25">
      <c r="A4668" s="73"/>
      <c r="B4668" s="73"/>
    </row>
    <row r="4669" spans="1:2" x14ac:dyDescent="0.25">
      <c r="A4669" s="73"/>
      <c r="B4669" s="73"/>
    </row>
    <row r="4670" spans="1:2" x14ac:dyDescent="0.25">
      <c r="A4670" s="73"/>
      <c r="B4670" s="73"/>
    </row>
    <row r="4671" spans="1:2" x14ac:dyDescent="0.25">
      <c r="A4671" s="73"/>
      <c r="B4671" s="73"/>
    </row>
    <row r="4672" spans="1:2" x14ac:dyDescent="0.25">
      <c r="A4672" s="73"/>
      <c r="B4672" s="73"/>
    </row>
    <row r="4673" spans="1:2" x14ac:dyDescent="0.25">
      <c r="A4673" s="73"/>
      <c r="B4673" s="73"/>
    </row>
    <row r="4674" spans="1:2" x14ac:dyDescent="0.25">
      <c r="A4674" s="73"/>
      <c r="B4674" s="73"/>
    </row>
    <row r="4675" spans="1:2" x14ac:dyDescent="0.25">
      <c r="A4675" s="73"/>
      <c r="B4675" s="73"/>
    </row>
    <row r="4676" spans="1:2" x14ac:dyDescent="0.25">
      <c r="A4676" s="73"/>
      <c r="B4676" s="73"/>
    </row>
    <row r="4677" spans="1:2" x14ac:dyDescent="0.25">
      <c r="A4677" s="73"/>
      <c r="B4677" s="73"/>
    </row>
    <row r="4678" spans="1:2" x14ac:dyDescent="0.25">
      <c r="A4678" s="73"/>
      <c r="B4678" s="73"/>
    </row>
    <row r="4679" spans="1:2" x14ac:dyDescent="0.25">
      <c r="A4679" s="73"/>
      <c r="B4679" s="73"/>
    </row>
    <row r="4680" spans="1:2" x14ac:dyDescent="0.25">
      <c r="A4680" s="73"/>
      <c r="B4680" s="73"/>
    </row>
    <row r="4681" spans="1:2" x14ac:dyDescent="0.25">
      <c r="A4681" s="73"/>
      <c r="B4681" s="73"/>
    </row>
    <row r="4682" spans="1:2" x14ac:dyDescent="0.25">
      <c r="A4682" s="73"/>
      <c r="B4682" s="73"/>
    </row>
    <row r="4683" spans="1:2" x14ac:dyDescent="0.25">
      <c r="A4683" s="73"/>
      <c r="B4683" s="73"/>
    </row>
    <row r="4684" spans="1:2" x14ac:dyDescent="0.25">
      <c r="A4684" s="73"/>
      <c r="B4684" s="73"/>
    </row>
    <row r="4685" spans="1:2" x14ac:dyDescent="0.25">
      <c r="A4685" s="73"/>
      <c r="B4685" s="73"/>
    </row>
    <row r="4686" spans="1:2" x14ac:dyDescent="0.25">
      <c r="A4686" s="73"/>
      <c r="B4686" s="73"/>
    </row>
    <row r="4687" spans="1:2" x14ac:dyDescent="0.25">
      <c r="A4687" s="73"/>
      <c r="B4687" s="73"/>
    </row>
    <row r="4688" spans="1:2" x14ac:dyDescent="0.25">
      <c r="A4688" s="73"/>
      <c r="B4688" s="73"/>
    </row>
    <row r="4689" spans="1:2" x14ac:dyDescent="0.25">
      <c r="A4689" s="73"/>
      <c r="B4689" s="73"/>
    </row>
    <row r="4690" spans="1:2" x14ac:dyDescent="0.25">
      <c r="A4690" s="73"/>
      <c r="B4690" s="73"/>
    </row>
    <row r="4691" spans="1:2" x14ac:dyDescent="0.25">
      <c r="A4691" s="73"/>
      <c r="B4691" s="73"/>
    </row>
    <row r="4692" spans="1:2" x14ac:dyDescent="0.25">
      <c r="A4692" s="73"/>
      <c r="B4692" s="73"/>
    </row>
    <row r="4693" spans="1:2" x14ac:dyDescent="0.25">
      <c r="A4693" s="73"/>
      <c r="B4693" s="73"/>
    </row>
    <row r="4694" spans="1:2" x14ac:dyDescent="0.25">
      <c r="A4694" s="73"/>
      <c r="B4694" s="73"/>
    </row>
    <row r="4695" spans="1:2" x14ac:dyDescent="0.25">
      <c r="A4695" s="73"/>
      <c r="B4695" s="73"/>
    </row>
    <row r="4696" spans="1:2" x14ac:dyDescent="0.25">
      <c r="A4696" s="73"/>
      <c r="B4696" s="73"/>
    </row>
    <row r="4697" spans="1:2" x14ac:dyDescent="0.25">
      <c r="A4697" s="73"/>
      <c r="B4697" s="73"/>
    </row>
    <row r="4698" spans="1:2" x14ac:dyDescent="0.25">
      <c r="A4698" s="73"/>
      <c r="B4698" s="73"/>
    </row>
    <row r="4699" spans="1:2" x14ac:dyDescent="0.25">
      <c r="A4699" s="73"/>
      <c r="B4699" s="73"/>
    </row>
    <row r="4700" spans="1:2" x14ac:dyDescent="0.25">
      <c r="A4700" s="73"/>
      <c r="B4700" s="73"/>
    </row>
    <row r="4701" spans="1:2" x14ac:dyDescent="0.25">
      <c r="A4701" s="73"/>
      <c r="B4701" s="73"/>
    </row>
    <row r="4702" spans="1:2" x14ac:dyDescent="0.25">
      <c r="A4702" s="73"/>
      <c r="B4702" s="73"/>
    </row>
    <row r="4703" spans="1:2" x14ac:dyDescent="0.25">
      <c r="A4703" s="73"/>
      <c r="B4703" s="73"/>
    </row>
    <row r="4704" spans="1:2" x14ac:dyDescent="0.25">
      <c r="A4704" s="73"/>
      <c r="B4704" s="73"/>
    </row>
    <row r="4705" spans="1:2" x14ac:dyDescent="0.25">
      <c r="A4705" s="73"/>
      <c r="B4705" s="73"/>
    </row>
    <row r="4706" spans="1:2" x14ac:dyDescent="0.25">
      <c r="A4706" s="73"/>
      <c r="B4706" s="73"/>
    </row>
    <row r="4707" spans="1:2" x14ac:dyDescent="0.25">
      <c r="A4707" s="73"/>
      <c r="B4707" s="73"/>
    </row>
    <row r="4708" spans="1:2" x14ac:dyDescent="0.25">
      <c r="A4708" s="73"/>
      <c r="B4708" s="73"/>
    </row>
    <row r="4709" spans="1:2" x14ac:dyDescent="0.25">
      <c r="A4709" s="73"/>
      <c r="B4709" s="73"/>
    </row>
    <row r="4710" spans="1:2" x14ac:dyDescent="0.25">
      <c r="A4710" s="73"/>
      <c r="B4710" s="73"/>
    </row>
    <row r="4711" spans="1:2" x14ac:dyDescent="0.25">
      <c r="A4711" s="73"/>
      <c r="B4711" s="73"/>
    </row>
    <row r="4712" spans="1:2" x14ac:dyDescent="0.25">
      <c r="A4712" s="73"/>
      <c r="B4712" s="73"/>
    </row>
    <row r="4713" spans="1:2" x14ac:dyDescent="0.25">
      <c r="A4713" s="73"/>
      <c r="B4713" s="73"/>
    </row>
    <row r="4714" spans="1:2" x14ac:dyDescent="0.25">
      <c r="A4714" s="73"/>
      <c r="B4714" s="73"/>
    </row>
    <row r="4715" spans="1:2" x14ac:dyDescent="0.25">
      <c r="A4715" s="73"/>
      <c r="B4715" s="73"/>
    </row>
    <row r="4716" spans="1:2" x14ac:dyDescent="0.25">
      <c r="A4716" s="73"/>
      <c r="B4716" s="73"/>
    </row>
    <row r="4717" spans="1:2" x14ac:dyDescent="0.25">
      <c r="A4717" s="73"/>
      <c r="B4717" s="73"/>
    </row>
    <row r="4718" spans="1:2" x14ac:dyDescent="0.25">
      <c r="A4718" s="73"/>
      <c r="B4718" s="73"/>
    </row>
    <row r="4719" spans="1:2" x14ac:dyDescent="0.25">
      <c r="A4719" s="73"/>
      <c r="B4719" s="73"/>
    </row>
    <row r="4720" spans="1:2" x14ac:dyDescent="0.25">
      <c r="A4720" s="73"/>
      <c r="B4720" s="73"/>
    </row>
    <row r="4721" spans="1:2" x14ac:dyDescent="0.25">
      <c r="A4721" s="73"/>
      <c r="B4721" s="73"/>
    </row>
    <row r="4722" spans="1:2" x14ac:dyDescent="0.25">
      <c r="A4722" s="73"/>
      <c r="B4722" s="73"/>
    </row>
    <row r="4723" spans="1:2" x14ac:dyDescent="0.25">
      <c r="A4723" s="73"/>
      <c r="B4723" s="73"/>
    </row>
    <row r="4724" spans="1:2" x14ac:dyDescent="0.25">
      <c r="A4724" s="73"/>
      <c r="B4724" s="73"/>
    </row>
    <row r="4725" spans="1:2" x14ac:dyDescent="0.25">
      <c r="A4725" s="73"/>
      <c r="B4725" s="73"/>
    </row>
    <row r="4726" spans="1:2" x14ac:dyDescent="0.25">
      <c r="A4726" s="73"/>
      <c r="B4726" s="73"/>
    </row>
    <row r="4727" spans="1:2" x14ac:dyDescent="0.25">
      <c r="A4727" s="73"/>
      <c r="B4727" s="73"/>
    </row>
    <row r="4728" spans="1:2" x14ac:dyDescent="0.25">
      <c r="A4728" s="73"/>
      <c r="B4728" s="73"/>
    </row>
    <row r="4729" spans="1:2" x14ac:dyDescent="0.25">
      <c r="A4729" s="73"/>
      <c r="B4729" s="73"/>
    </row>
    <row r="4730" spans="1:2" x14ac:dyDescent="0.25">
      <c r="A4730" s="73"/>
      <c r="B4730" s="73"/>
    </row>
    <row r="4731" spans="1:2" x14ac:dyDescent="0.25">
      <c r="A4731" s="73"/>
      <c r="B4731" s="73"/>
    </row>
    <row r="4732" spans="1:2" x14ac:dyDescent="0.25">
      <c r="A4732" s="73"/>
      <c r="B4732" s="73"/>
    </row>
    <row r="4733" spans="1:2" x14ac:dyDescent="0.25">
      <c r="A4733" s="73"/>
      <c r="B4733" s="73"/>
    </row>
    <row r="4734" spans="1:2" x14ac:dyDescent="0.25">
      <c r="A4734" s="73"/>
      <c r="B4734" s="73"/>
    </row>
    <row r="4735" spans="1:2" x14ac:dyDescent="0.25">
      <c r="A4735" s="73"/>
      <c r="B4735" s="73"/>
    </row>
    <row r="4736" spans="1:2" x14ac:dyDescent="0.25">
      <c r="A4736" s="73"/>
      <c r="B4736" s="73"/>
    </row>
    <row r="4737" spans="1:2" x14ac:dyDescent="0.25">
      <c r="A4737" s="73"/>
      <c r="B4737" s="73"/>
    </row>
    <row r="4738" spans="1:2" x14ac:dyDescent="0.25">
      <c r="A4738" s="73"/>
      <c r="B4738" s="73"/>
    </row>
    <row r="4739" spans="1:2" x14ac:dyDescent="0.25">
      <c r="A4739" s="73"/>
      <c r="B4739" s="73"/>
    </row>
    <row r="4740" spans="1:2" x14ac:dyDescent="0.25">
      <c r="A4740" s="73"/>
      <c r="B4740" s="73"/>
    </row>
    <row r="4741" spans="1:2" x14ac:dyDescent="0.25">
      <c r="A4741" s="73"/>
      <c r="B4741" s="73"/>
    </row>
    <row r="4742" spans="1:2" x14ac:dyDescent="0.25">
      <c r="A4742" s="73"/>
      <c r="B4742" s="73"/>
    </row>
    <row r="4743" spans="1:2" x14ac:dyDescent="0.25">
      <c r="A4743" s="73"/>
      <c r="B4743" s="73"/>
    </row>
    <row r="4744" spans="1:2" x14ac:dyDescent="0.25">
      <c r="A4744" s="73"/>
      <c r="B4744" s="73"/>
    </row>
    <row r="4745" spans="1:2" x14ac:dyDescent="0.25">
      <c r="A4745" s="73"/>
      <c r="B4745" s="73"/>
    </row>
    <row r="4746" spans="1:2" x14ac:dyDescent="0.25">
      <c r="A4746" s="73"/>
      <c r="B4746" s="73"/>
    </row>
    <row r="4747" spans="1:2" x14ac:dyDescent="0.25">
      <c r="A4747" s="73"/>
      <c r="B4747" s="73"/>
    </row>
    <row r="4748" spans="1:2" x14ac:dyDescent="0.25">
      <c r="A4748" s="73"/>
      <c r="B4748" s="73"/>
    </row>
    <row r="4749" spans="1:2" x14ac:dyDescent="0.25">
      <c r="A4749" s="73"/>
      <c r="B4749" s="73"/>
    </row>
    <row r="4750" spans="1:2" x14ac:dyDescent="0.25">
      <c r="A4750" s="73"/>
      <c r="B4750" s="73"/>
    </row>
    <row r="4751" spans="1:2" x14ac:dyDescent="0.25">
      <c r="A4751" s="73"/>
      <c r="B4751" s="73"/>
    </row>
    <row r="4752" spans="1:2" x14ac:dyDescent="0.25">
      <c r="A4752" s="73"/>
      <c r="B4752" s="73"/>
    </row>
    <row r="4753" spans="1:2" x14ac:dyDescent="0.25">
      <c r="A4753" s="73"/>
      <c r="B4753" s="73"/>
    </row>
    <row r="4754" spans="1:2" x14ac:dyDescent="0.25">
      <c r="A4754" s="73"/>
      <c r="B4754" s="73"/>
    </row>
    <row r="4755" spans="1:2" x14ac:dyDescent="0.25">
      <c r="A4755" s="73"/>
      <c r="B4755" s="73"/>
    </row>
    <row r="4756" spans="1:2" x14ac:dyDescent="0.25">
      <c r="A4756" s="73"/>
      <c r="B4756" s="73"/>
    </row>
    <row r="4757" spans="1:2" x14ac:dyDescent="0.25">
      <c r="A4757" s="73"/>
      <c r="B4757" s="73"/>
    </row>
    <row r="4758" spans="1:2" x14ac:dyDescent="0.25">
      <c r="A4758" s="73"/>
      <c r="B4758" s="73"/>
    </row>
    <row r="4759" spans="1:2" x14ac:dyDescent="0.25">
      <c r="A4759" s="73"/>
      <c r="B4759" s="73"/>
    </row>
    <row r="4760" spans="1:2" x14ac:dyDescent="0.25">
      <c r="A4760" s="73"/>
      <c r="B4760" s="73"/>
    </row>
    <row r="4761" spans="1:2" x14ac:dyDescent="0.25">
      <c r="A4761" s="73"/>
      <c r="B4761" s="73"/>
    </row>
    <row r="4762" spans="1:2" x14ac:dyDescent="0.25">
      <c r="A4762" s="73"/>
      <c r="B4762" s="73"/>
    </row>
    <row r="4763" spans="1:2" x14ac:dyDescent="0.25">
      <c r="A4763" s="73"/>
      <c r="B4763" s="73"/>
    </row>
    <row r="4764" spans="1:2" x14ac:dyDescent="0.25">
      <c r="A4764" s="73"/>
      <c r="B4764" s="73"/>
    </row>
    <row r="4765" spans="1:2" x14ac:dyDescent="0.25">
      <c r="A4765" s="73"/>
      <c r="B4765" s="73"/>
    </row>
    <row r="4766" spans="1:2" x14ac:dyDescent="0.25">
      <c r="A4766" s="73"/>
      <c r="B4766" s="73"/>
    </row>
    <row r="4767" spans="1:2" x14ac:dyDescent="0.25">
      <c r="A4767" s="73"/>
      <c r="B4767" s="73"/>
    </row>
    <row r="4768" spans="1:2" x14ac:dyDescent="0.25">
      <c r="A4768" s="73"/>
      <c r="B4768" s="73"/>
    </row>
    <row r="4769" spans="1:2" x14ac:dyDescent="0.25">
      <c r="A4769" s="73"/>
      <c r="B4769" s="73"/>
    </row>
    <row r="4770" spans="1:2" x14ac:dyDescent="0.25">
      <c r="A4770" s="73"/>
      <c r="B4770" s="73"/>
    </row>
    <row r="4771" spans="1:2" x14ac:dyDescent="0.25">
      <c r="A4771" s="73"/>
      <c r="B4771" s="73"/>
    </row>
    <row r="4772" spans="1:2" x14ac:dyDescent="0.25">
      <c r="A4772" s="73"/>
      <c r="B4772" s="73"/>
    </row>
    <row r="4773" spans="1:2" x14ac:dyDescent="0.25">
      <c r="A4773" s="73"/>
      <c r="B4773" s="73"/>
    </row>
    <row r="4774" spans="1:2" x14ac:dyDescent="0.25">
      <c r="A4774" s="73"/>
      <c r="B4774" s="73"/>
    </row>
    <row r="4775" spans="1:2" x14ac:dyDescent="0.25">
      <c r="A4775" s="73"/>
      <c r="B4775" s="73"/>
    </row>
    <row r="4776" spans="1:2" x14ac:dyDescent="0.25">
      <c r="A4776" s="73"/>
      <c r="B4776" s="73"/>
    </row>
    <row r="4777" spans="1:2" x14ac:dyDescent="0.25">
      <c r="A4777" s="73"/>
      <c r="B4777" s="73"/>
    </row>
    <row r="4778" spans="1:2" x14ac:dyDescent="0.25">
      <c r="A4778" s="73"/>
      <c r="B4778" s="73"/>
    </row>
    <row r="4779" spans="1:2" x14ac:dyDescent="0.25">
      <c r="A4779" s="73"/>
      <c r="B4779" s="73"/>
    </row>
    <row r="4780" spans="1:2" x14ac:dyDescent="0.25">
      <c r="A4780" s="73"/>
      <c r="B4780" s="73"/>
    </row>
    <row r="4781" spans="1:2" x14ac:dyDescent="0.25">
      <c r="A4781" s="73"/>
      <c r="B4781" s="73"/>
    </row>
    <row r="4782" spans="1:2" x14ac:dyDescent="0.25">
      <c r="A4782" s="73"/>
      <c r="B4782" s="73"/>
    </row>
    <row r="4783" spans="1:2" x14ac:dyDescent="0.25">
      <c r="A4783" s="73"/>
      <c r="B4783" s="73"/>
    </row>
    <row r="4784" spans="1:2" x14ac:dyDescent="0.25">
      <c r="A4784" s="73"/>
      <c r="B4784" s="73"/>
    </row>
    <row r="4785" spans="1:2" x14ac:dyDescent="0.25">
      <c r="A4785" s="73"/>
      <c r="B4785" s="73"/>
    </row>
    <row r="4786" spans="1:2" x14ac:dyDescent="0.25">
      <c r="A4786" s="73"/>
      <c r="B4786" s="73"/>
    </row>
    <row r="4787" spans="1:2" x14ac:dyDescent="0.25">
      <c r="A4787" s="73"/>
      <c r="B4787" s="73"/>
    </row>
    <row r="4788" spans="1:2" x14ac:dyDescent="0.25">
      <c r="A4788" s="73"/>
      <c r="B4788" s="73"/>
    </row>
    <row r="4789" spans="1:2" x14ac:dyDescent="0.25">
      <c r="A4789" s="73"/>
      <c r="B4789" s="73"/>
    </row>
    <row r="4790" spans="1:2" x14ac:dyDescent="0.25">
      <c r="A4790" s="73"/>
      <c r="B4790" s="73"/>
    </row>
    <row r="4791" spans="1:2" x14ac:dyDescent="0.25">
      <c r="A4791" s="73"/>
      <c r="B4791" s="73"/>
    </row>
    <row r="4792" spans="1:2" x14ac:dyDescent="0.25">
      <c r="A4792" s="73"/>
      <c r="B4792" s="73"/>
    </row>
    <row r="4793" spans="1:2" x14ac:dyDescent="0.25">
      <c r="A4793" s="73"/>
      <c r="B4793" s="73"/>
    </row>
    <row r="4794" spans="1:2" x14ac:dyDescent="0.25">
      <c r="A4794" s="73"/>
      <c r="B4794" s="73"/>
    </row>
    <row r="4795" spans="1:2" x14ac:dyDescent="0.25">
      <c r="A4795" s="73"/>
      <c r="B4795" s="73"/>
    </row>
    <row r="4796" spans="1:2" x14ac:dyDescent="0.25">
      <c r="A4796" s="73"/>
      <c r="B4796" s="73"/>
    </row>
    <row r="4797" spans="1:2" x14ac:dyDescent="0.25">
      <c r="A4797" s="73"/>
      <c r="B4797" s="73"/>
    </row>
    <row r="4798" spans="1:2" x14ac:dyDescent="0.25">
      <c r="A4798" s="73"/>
      <c r="B4798" s="73"/>
    </row>
    <row r="4799" spans="1:2" x14ac:dyDescent="0.25">
      <c r="A4799" s="73"/>
      <c r="B4799" s="73"/>
    </row>
    <row r="4800" spans="1:2" x14ac:dyDescent="0.25">
      <c r="A4800" s="73"/>
      <c r="B4800" s="73"/>
    </row>
    <row r="4801" spans="1:2" x14ac:dyDescent="0.25">
      <c r="A4801" s="73"/>
      <c r="B4801" s="73"/>
    </row>
    <row r="4802" spans="1:2" x14ac:dyDescent="0.25">
      <c r="A4802" s="73"/>
      <c r="B4802" s="73"/>
    </row>
    <row r="4803" spans="1:2" x14ac:dyDescent="0.25">
      <c r="A4803" s="73"/>
      <c r="B4803" s="73"/>
    </row>
    <row r="4804" spans="1:2" x14ac:dyDescent="0.25">
      <c r="A4804" s="73"/>
      <c r="B4804" s="73"/>
    </row>
    <row r="4805" spans="1:2" x14ac:dyDescent="0.25">
      <c r="A4805" s="73"/>
      <c r="B4805" s="73"/>
    </row>
    <row r="4806" spans="1:2" x14ac:dyDescent="0.25">
      <c r="A4806" s="73"/>
      <c r="B4806" s="73"/>
    </row>
    <row r="4807" spans="1:2" x14ac:dyDescent="0.25">
      <c r="A4807" s="73"/>
      <c r="B4807" s="73"/>
    </row>
    <row r="4808" spans="1:2" x14ac:dyDescent="0.25">
      <c r="A4808" s="73"/>
      <c r="B4808" s="73"/>
    </row>
    <row r="4809" spans="1:2" x14ac:dyDescent="0.25">
      <c r="A4809" s="73"/>
      <c r="B4809" s="73"/>
    </row>
    <row r="4810" spans="1:2" x14ac:dyDescent="0.25">
      <c r="A4810" s="73"/>
      <c r="B4810" s="73"/>
    </row>
    <row r="4811" spans="1:2" x14ac:dyDescent="0.25">
      <c r="A4811" s="73"/>
      <c r="B4811" s="73"/>
    </row>
    <row r="4812" spans="1:2" x14ac:dyDescent="0.25">
      <c r="A4812" s="73"/>
      <c r="B4812" s="73"/>
    </row>
    <row r="4813" spans="1:2" x14ac:dyDescent="0.25">
      <c r="A4813" s="73"/>
      <c r="B4813" s="73"/>
    </row>
    <row r="4814" spans="1:2" x14ac:dyDescent="0.25">
      <c r="A4814" s="73"/>
      <c r="B4814" s="73"/>
    </row>
    <row r="4815" spans="1:2" x14ac:dyDescent="0.25">
      <c r="A4815" s="73"/>
      <c r="B4815" s="73"/>
    </row>
    <row r="4816" spans="1:2" x14ac:dyDescent="0.25">
      <c r="A4816" s="73"/>
      <c r="B4816" s="73"/>
    </row>
    <row r="4817" spans="1:2" x14ac:dyDescent="0.25">
      <c r="A4817" s="73"/>
      <c r="B4817" s="73"/>
    </row>
    <row r="4818" spans="1:2" x14ac:dyDescent="0.25">
      <c r="A4818" s="73"/>
      <c r="B4818" s="73"/>
    </row>
    <row r="4819" spans="1:2" x14ac:dyDescent="0.25">
      <c r="A4819" s="73"/>
      <c r="B4819" s="73"/>
    </row>
    <row r="4820" spans="1:2" x14ac:dyDescent="0.25">
      <c r="A4820" s="73"/>
      <c r="B4820" s="73"/>
    </row>
    <row r="4821" spans="1:2" x14ac:dyDescent="0.25">
      <c r="A4821" s="73"/>
      <c r="B4821" s="73"/>
    </row>
    <row r="4822" spans="1:2" x14ac:dyDescent="0.25">
      <c r="A4822" s="73"/>
      <c r="B4822" s="73"/>
    </row>
    <row r="4823" spans="1:2" x14ac:dyDescent="0.25">
      <c r="A4823" s="73"/>
      <c r="B4823" s="73"/>
    </row>
    <row r="4824" spans="1:2" x14ac:dyDescent="0.25">
      <c r="A4824" s="73"/>
      <c r="B4824" s="73"/>
    </row>
    <row r="4825" spans="1:2" x14ac:dyDescent="0.25">
      <c r="A4825" s="73"/>
      <c r="B4825" s="73"/>
    </row>
    <row r="4826" spans="1:2" x14ac:dyDescent="0.25">
      <c r="A4826" s="73"/>
      <c r="B4826" s="73"/>
    </row>
    <row r="4827" spans="1:2" x14ac:dyDescent="0.25">
      <c r="A4827" s="73"/>
      <c r="B4827" s="73"/>
    </row>
    <row r="4828" spans="1:2" x14ac:dyDescent="0.25">
      <c r="A4828" s="73"/>
      <c r="B4828" s="73"/>
    </row>
    <row r="4829" spans="1:2" x14ac:dyDescent="0.25">
      <c r="A4829" s="73"/>
      <c r="B4829" s="73"/>
    </row>
    <row r="4830" spans="1:2" x14ac:dyDescent="0.25">
      <c r="A4830" s="73"/>
      <c r="B4830" s="73"/>
    </row>
    <row r="4831" spans="1:2" x14ac:dyDescent="0.25">
      <c r="A4831" s="73"/>
      <c r="B4831" s="73"/>
    </row>
    <row r="4832" spans="1:2" x14ac:dyDescent="0.25">
      <c r="A4832" s="73"/>
      <c r="B4832" s="73"/>
    </row>
    <row r="4833" spans="1:2" x14ac:dyDescent="0.25">
      <c r="A4833" s="73"/>
      <c r="B4833" s="73"/>
    </row>
    <row r="4834" spans="1:2" x14ac:dyDescent="0.25">
      <c r="A4834" s="73"/>
      <c r="B4834" s="73"/>
    </row>
    <row r="4835" spans="1:2" x14ac:dyDescent="0.25">
      <c r="A4835" s="73"/>
      <c r="B4835" s="73"/>
    </row>
    <row r="4836" spans="1:2" x14ac:dyDescent="0.25">
      <c r="A4836" s="73"/>
      <c r="B4836" s="73"/>
    </row>
    <row r="4837" spans="1:2" x14ac:dyDescent="0.25">
      <c r="A4837" s="73"/>
      <c r="B4837" s="73"/>
    </row>
    <row r="4838" spans="1:2" x14ac:dyDescent="0.25">
      <c r="A4838" s="73"/>
      <c r="B4838" s="73"/>
    </row>
    <row r="4839" spans="1:2" x14ac:dyDescent="0.25">
      <c r="A4839" s="73"/>
      <c r="B4839" s="73"/>
    </row>
    <row r="4840" spans="1:2" x14ac:dyDescent="0.25">
      <c r="A4840" s="73"/>
      <c r="B4840" s="73"/>
    </row>
    <row r="4841" spans="1:2" x14ac:dyDescent="0.25">
      <c r="A4841" s="73"/>
      <c r="B4841" s="73"/>
    </row>
    <row r="4842" spans="1:2" x14ac:dyDescent="0.25">
      <c r="A4842" s="73"/>
      <c r="B4842" s="73"/>
    </row>
    <row r="4843" spans="1:2" x14ac:dyDescent="0.25">
      <c r="A4843" s="73"/>
      <c r="B4843" s="73"/>
    </row>
    <row r="4844" spans="1:2" x14ac:dyDescent="0.25">
      <c r="A4844" s="73"/>
      <c r="B4844" s="73"/>
    </row>
    <row r="4845" spans="1:2" x14ac:dyDescent="0.25">
      <c r="A4845" s="73"/>
      <c r="B4845" s="73"/>
    </row>
    <row r="4846" spans="1:2" x14ac:dyDescent="0.25">
      <c r="A4846" s="73"/>
      <c r="B4846" s="73"/>
    </row>
    <row r="4847" spans="1:2" x14ac:dyDescent="0.25">
      <c r="A4847" s="73"/>
      <c r="B4847" s="73"/>
    </row>
    <row r="4848" spans="1:2" x14ac:dyDescent="0.25">
      <c r="A4848" s="73"/>
      <c r="B4848" s="73"/>
    </row>
    <row r="4849" spans="1:2" x14ac:dyDescent="0.25">
      <c r="A4849" s="73"/>
      <c r="B4849" s="73"/>
    </row>
    <row r="4850" spans="1:2" x14ac:dyDescent="0.25">
      <c r="A4850" s="73"/>
      <c r="B4850" s="73"/>
    </row>
    <row r="4851" spans="1:2" x14ac:dyDescent="0.25">
      <c r="A4851" s="73"/>
      <c r="B4851" s="73"/>
    </row>
    <row r="4852" spans="1:2" x14ac:dyDescent="0.25">
      <c r="A4852" s="73"/>
      <c r="B4852" s="73"/>
    </row>
    <row r="4853" spans="1:2" x14ac:dyDescent="0.25">
      <c r="A4853" s="73"/>
      <c r="B4853" s="73"/>
    </row>
    <row r="4854" spans="1:2" x14ac:dyDescent="0.25">
      <c r="A4854" s="73"/>
      <c r="B4854" s="73"/>
    </row>
    <row r="4855" spans="1:2" x14ac:dyDescent="0.25">
      <c r="A4855" s="73"/>
      <c r="B4855" s="73"/>
    </row>
    <row r="4856" spans="1:2" x14ac:dyDescent="0.25">
      <c r="A4856" s="73"/>
      <c r="B4856" s="73"/>
    </row>
    <row r="4857" spans="1:2" x14ac:dyDescent="0.25">
      <c r="A4857" s="73"/>
      <c r="B4857" s="73"/>
    </row>
    <row r="4858" spans="1:2" x14ac:dyDescent="0.25">
      <c r="A4858" s="73"/>
      <c r="B4858" s="73"/>
    </row>
    <row r="4859" spans="1:2" x14ac:dyDescent="0.25">
      <c r="A4859" s="73"/>
      <c r="B4859" s="73"/>
    </row>
    <row r="4860" spans="1:2" x14ac:dyDescent="0.25">
      <c r="A4860" s="73"/>
      <c r="B4860" s="73"/>
    </row>
    <row r="4861" spans="1:2" x14ac:dyDescent="0.25">
      <c r="A4861" s="73"/>
      <c r="B4861" s="73"/>
    </row>
    <row r="4862" spans="1:2" x14ac:dyDescent="0.25">
      <c r="A4862" s="73"/>
      <c r="B4862" s="73"/>
    </row>
    <row r="4863" spans="1:2" x14ac:dyDescent="0.25">
      <c r="A4863" s="73"/>
      <c r="B4863" s="73"/>
    </row>
    <row r="4864" spans="1:2" x14ac:dyDescent="0.25">
      <c r="A4864" s="73"/>
      <c r="B4864" s="73"/>
    </row>
    <row r="4865" spans="1:2" x14ac:dyDescent="0.25">
      <c r="A4865" s="73"/>
      <c r="B4865" s="73"/>
    </row>
    <row r="4866" spans="1:2" x14ac:dyDescent="0.25">
      <c r="A4866" s="73"/>
      <c r="B4866" s="73"/>
    </row>
    <row r="4867" spans="1:2" x14ac:dyDescent="0.25">
      <c r="A4867" s="73"/>
      <c r="B4867" s="73"/>
    </row>
    <row r="4868" spans="1:2" x14ac:dyDescent="0.25">
      <c r="A4868" s="73"/>
      <c r="B4868" s="73"/>
    </row>
    <row r="4869" spans="1:2" x14ac:dyDescent="0.25">
      <c r="A4869" s="73"/>
      <c r="B4869" s="73"/>
    </row>
    <row r="4870" spans="1:2" x14ac:dyDescent="0.25">
      <c r="A4870" s="73"/>
      <c r="B4870" s="73"/>
    </row>
    <row r="4871" spans="1:2" x14ac:dyDescent="0.25">
      <c r="A4871" s="73"/>
      <c r="B4871" s="73"/>
    </row>
    <row r="4872" spans="1:2" x14ac:dyDescent="0.25">
      <c r="A4872" s="73"/>
      <c r="B4872" s="73"/>
    </row>
    <row r="4873" spans="1:2" x14ac:dyDescent="0.25">
      <c r="A4873" s="73"/>
      <c r="B4873" s="73"/>
    </row>
    <row r="4874" spans="1:2" x14ac:dyDescent="0.25">
      <c r="A4874" s="73"/>
      <c r="B4874" s="73"/>
    </row>
    <row r="4875" spans="1:2" x14ac:dyDescent="0.25">
      <c r="A4875" s="73"/>
      <c r="B4875" s="73"/>
    </row>
    <row r="4876" spans="1:2" x14ac:dyDescent="0.25">
      <c r="A4876" s="73"/>
      <c r="B4876" s="73"/>
    </row>
    <row r="4877" spans="1:2" x14ac:dyDescent="0.25">
      <c r="A4877" s="73"/>
      <c r="B4877" s="73"/>
    </row>
    <row r="4878" spans="1:2" x14ac:dyDescent="0.25">
      <c r="A4878" s="73"/>
      <c r="B4878" s="73"/>
    </row>
    <row r="4879" spans="1:2" x14ac:dyDescent="0.25">
      <c r="A4879" s="73"/>
      <c r="B4879" s="73"/>
    </row>
    <row r="4880" spans="1:2" x14ac:dyDescent="0.25">
      <c r="A4880" s="73"/>
      <c r="B4880" s="73"/>
    </row>
    <row r="4881" spans="1:2" x14ac:dyDescent="0.25">
      <c r="A4881" s="73"/>
      <c r="B4881" s="73"/>
    </row>
    <row r="4882" spans="1:2" x14ac:dyDescent="0.25">
      <c r="A4882" s="73"/>
      <c r="B4882" s="73"/>
    </row>
    <row r="4883" spans="1:2" x14ac:dyDescent="0.25">
      <c r="A4883" s="73"/>
      <c r="B4883" s="73"/>
    </row>
    <row r="4884" spans="1:2" x14ac:dyDescent="0.25">
      <c r="A4884" s="73"/>
      <c r="B4884" s="73"/>
    </row>
    <row r="4885" spans="1:2" x14ac:dyDescent="0.25">
      <c r="A4885" s="73"/>
      <c r="B4885" s="73"/>
    </row>
    <row r="4886" spans="1:2" x14ac:dyDescent="0.25">
      <c r="A4886" s="73"/>
      <c r="B4886" s="73"/>
    </row>
    <row r="4887" spans="1:2" x14ac:dyDescent="0.25">
      <c r="A4887" s="73"/>
      <c r="B4887" s="73"/>
    </row>
    <row r="4888" spans="1:2" x14ac:dyDescent="0.25">
      <c r="A4888" s="73"/>
      <c r="B4888" s="73"/>
    </row>
    <row r="4889" spans="1:2" x14ac:dyDescent="0.25">
      <c r="A4889" s="73"/>
      <c r="B4889" s="73"/>
    </row>
    <row r="4890" spans="1:2" x14ac:dyDescent="0.25">
      <c r="A4890" s="73"/>
      <c r="B4890" s="73"/>
    </row>
    <row r="4891" spans="1:2" x14ac:dyDescent="0.25">
      <c r="A4891" s="73"/>
      <c r="B4891" s="73"/>
    </row>
    <row r="4892" spans="1:2" x14ac:dyDescent="0.25">
      <c r="A4892" s="73"/>
      <c r="B4892" s="73"/>
    </row>
    <row r="4893" spans="1:2" x14ac:dyDescent="0.25">
      <c r="A4893" s="73"/>
      <c r="B4893" s="73"/>
    </row>
    <row r="4894" spans="1:2" x14ac:dyDescent="0.25">
      <c r="A4894" s="73"/>
      <c r="B4894" s="73"/>
    </row>
    <row r="4895" spans="1:2" x14ac:dyDescent="0.25">
      <c r="A4895" s="73"/>
      <c r="B4895" s="73"/>
    </row>
    <row r="4896" spans="1:2" x14ac:dyDescent="0.25">
      <c r="A4896" s="73"/>
      <c r="B4896" s="73"/>
    </row>
    <row r="4897" spans="1:2" x14ac:dyDescent="0.25">
      <c r="A4897" s="73"/>
      <c r="B4897" s="73"/>
    </row>
    <row r="4898" spans="1:2" x14ac:dyDescent="0.25">
      <c r="A4898" s="73"/>
      <c r="B4898" s="73"/>
    </row>
    <row r="4899" spans="1:2" x14ac:dyDescent="0.25">
      <c r="A4899" s="73"/>
      <c r="B4899" s="73"/>
    </row>
    <row r="4900" spans="1:2" x14ac:dyDescent="0.25">
      <c r="A4900" s="73"/>
      <c r="B4900" s="73"/>
    </row>
    <row r="4901" spans="1:2" x14ac:dyDescent="0.25">
      <c r="A4901" s="73"/>
      <c r="B4901" s="73"/>
    </row>
    <row r="4902" spans="1:2" x14ac:dyDescent="0.25">
      <c r="A4902" s="73"/>
      <c r="B4902" s="73"/>
    </row>
    <row r="4903" spans="1:2" x14ac:dyDescent="0.25">
      <c r="A4903" s="73"/>
      <c r="B4903" s="73"/>
    </row>
    <row r="4904" spans="1:2" x14ac:dyDescent="0.25">
      <c r="A4904" s="73"/>
      <c r="B4904" s="73"/>
    </row>
    <row r="4905" spans="1:2" x14ac:dyDescent="0.25">
      <c r="A4905" s="73"/>
      <c r="B4905" s="73"/>
    </row>
    <row r="4906" spans="1:2" x14ac:dyDescent="0.25">
      <c r="A4906" s="73"/>
      <c r="B4906" s="73"/>
    </row>
    <row r="4907" spans="1:2" x14ac:dyDescent="0.25">
      <c r="A4907" s="73"/>
      <c r="B4907" s="73"/>
    </row>
    <row r="4908" spans="1:2" x14ac:dyDescent="0.25">
      <c r="A4908" s="73"/>
      <c r="B4908" s="73"/>
    </row>
    <row r="4909" spans="1:2" x14ac:dyDescent="0.25">
      <c r="A4909" s="73"/>
      <c r="B4909" s="73"/>
    </row>
    <row r="4910" spans="1:2" x14ac:dyDescent="0.25">
      <c r="A4910" s="73"/>
      <c r="B4910" s="73"/>
    </row>
    <row r="4911" spans="1:2" x14ac:dyDescent="0.25">
      <c r="A4911" s="73"/>
      <c r="B4911" s="73"/>
    </row>
    <row r="4912" spans="1:2" x14ac:dyDescent="0.25">
      <c r="A4912" s="73"/>
      <c r="B4912" s="73"/>
    </row>
    <row r="4913" spans="1:2" x14ac:dyDescent="0.25">
      <c r="A4913" s="73"/>
      <c r="B4913" s="73"/>
    </row>
    <row r="4914" spans="1:2" x14ac:dyDescent="0.25">
      <c r="A4914" s="73"/>
      <c r="B4914" s="73"/>
    </row>
    <row r="4915" spans="1:2" x14ac:dyDescent="0.25">
      <c r="A4915" s="73"/>
      <c r="B4915" s="73"/>
    </row>
    <row r="4916" spans="1:2" x14ac:dyDescent="0.25">
      <c r="A4916" s="73"/>
      <c r="B4916" s="73"/>
    </row>
    <row r="4917" spans="1:2" x14ac:dyDescent="0.25">
      <c r="A4917" s="73"/>
      <c r="B4917" s="73"/>
    </row>
    <row r="4918" spans="1:2" x14ac:dyDescent="0.25">
      <c r="A4918" s="73"/>
      <c r="B4918" s="73"/>
    </row>
    <row r="4919" spans="1:2" x14ac:dyDescent="0.25">
      <c r="A4919" s="73"/>
      <c r="B4919" s="73"/>
    </row>
    <row r="4920" spans="1:2" x14ac:dyDescent="0.25">
      <c r="A4920" s="73"/>
      <c r="B4920" s="73"/>
    </row>
    <row r="4921" spans="1:2" x14ac:dyDescent="0.25">
      <c r="A4921" s="73"/>
      <c r="B4921" s="73"/>
    </row>
    <row r="4922" spans="1:2" x14ac:dyDescent="0.25">
      <c r="A4922" s="73"/>
      <c r="B4922" s="73"/>
    </row>
    <row r="4923" spans="1:2" x14ac:dyDescent="0.25">
      <c r="A4923" s="73"/>
      <c r="B4923" s="73"/>
    </row>
    <row r="4924" spans="1:2" x14ac:dyDescent="0.25">
      <c r="A4924" s="73"/>
      <c r="B4924" s="73"/>
    </row>
    <row r="4925" spans="1:2" x14ac:dyDescent="0.25">
      <c r="A4925" s="73"/>
      <c r="B4925" s="73"/>
    </row>
    <row r="4926" spans="1:2" x14ac:dyDescent="0.25">
      <c r="A4926" s="73"/>
      <c r="B4926" s="73"/>
    </row>
    <row r="4927" spans="1:2" x14ac:dyDescent="0.25">
      <c r="A4927" s="73"/>
      <c r="B4927" s="73"/>
    </row>
    <row r="4928" spans="1:2" x14ac:dyDescent="0.25">
      <c r="A4928" s="73"/>
      <c r="B4928" s="73"/>
    </row>
    <row r="4929" spans="1:2" x14ac:dyDescent="0.25">
      <c r="A4929" s="73"/>
      <c r="B4929" s="73"/>
    </row>
    <row r="4930" spans="1:2" x14ac:dyDescent="0.25">
      <c r="A4930" s="73"/>
      <c r="B4930" s="73"/>
    </row>
    <row r="4931" spans="1:2" x14ac:dyDescent="0.25">
      <c r="A4931" s="73"/>
      <c r="B4931" s="73"/>
    </row>
    <row r="4932" spans="1:2" x14ac:dyDescent="0.25">
      <c r="A4932" s="73"/>
      <c r="B4932" s="73"/>
    </row>
    <row r="4933" spans="1:2" x14ac:dyDescent="0.25">
      <c r="A4933" s="73"/>
      <c r="B4933" s="73"/>
    </row>
    <row r="4934" spans="1:2" x14ac:dyDescent="0.25">
      <c r="A4934" s="73"/>
      <c r="B4934" s="73"/>
    </row>
    <row r="4935" spans="1:2" x14ac:dyDescent="0.25">
      <c r="A4935" s="73"/>
      <c r="B4935" s="73"/>
    </row>
    <row r="4936" spans="1:2" x14ac:dyDescent="0.25">
      <c r="A4936" s="73"/>
      <c r="B4936" s="73"/>
    </row>
    <row r="4937" spans="1:2" x14ac:dyDescent="0.25">
      <c r="A4937" s="73"/>
      <c r="B4937" s="73"/>
    </row>
    <row r="4938" spans="1:2" x14ac:dyDescent="0.25">
      <c r="A4938" s="73"/>
      <c r="B4938" s="73"/>
    </row>
    <row r="4939" spans="1:2" x14ac:dyDescent="0.25">
      <c r="A4939" s="73"/>
      <c r="B4939" s="73"/>
    </row>
    <row r="4940" spans="1:2" x14ac:dyDescent="0.25">
      <c r="A4940" s="73"/>
      <c r="B4940" s="73"/>
    </row>
    <row r="4941" spans="1:2" x14ac:dyDescent="0.25">
      <c r="A4941" s="73"/>
      <c r="B4941" s="73"/>
    </row>
    <row r="4942" spans="1:2" x14ac:dyDescent="0.25">
      <c r="A4942" s="73"/>
      <c r="B4942" s="73"/>
    </row>
    <row r="4943" spans="1:2" x14ac:dyDescent="0.25">
      <c r="A4943" s="73"/>
      <c r="B4943" s="73"/>
    </row>
    <row r="4944" spans="1:2" x14ac:dyDescent="0.25">
      <c r="A4944" s="73"/>
      <c r="B4944" s="73"/>
    </row>
    <row r="4945" spans="1:2" x14ac:dyDescent="0.25">
      <c r="A4945" s="73"/>
      <c r="B4945" s="73"/>
    </row>
    <row r="4946" spans="1:2" x14ac:dyDescent="0.25">
      <c r="A4946" s="73"/>
      <c r="B4946" s="73"/>
    </row>
    <row r="4947" spans="1:2" x14ac:dyDescent="0.25">
      <c r="A4947" s="73"/>
      <c r="B4947" s="73"/>
    </row>
    <row r="4948" spans="1:2" x14ac:dyDescent="0.25">
      <c r="A4948" s="73"/>
      <c r="B4948" s="73"/>
    </row>
    <row r="4949" spans="1:2" x14ac:dyDescent="0.25">
      <c r="A4949" s="73"/>
      <c r="B4949" s="73"/>
    </row>
    <row r="4950" spans="1:2" x14ac:dyDescent="0.25">
      <c r="A4950" s="73"/>
      <c r="B4950" s="73"/>
    </row>
    <row r="4951" spans="1:2" x14ac:dyDescent="0.25">
      <c r="A4951" s="73"/>
      <c r="B4951" s="73"/>
    </row>
    <row r="4952" spans="1:2" x14ac:dyDescent="0.25">
      <c r="A4952" s="73"/>
      <c r="B4952" s="73"/>
    </row>
  </sheetData>
  <mergeCells count="30">
    <mergeCell ref="AA1:AL1"/>
    <mergeCell ref="AA2:AL2"/>
    <mergeCell ref="AA3:AL3"/>
    <mergeCell ref="C1:N1"/>
    <mergeCell ref="C2:N2"/>
    <mergeCell ref="C3:N3"/>
    <mergeCell ref="O1:Z1"/>
    <mergeCell ref="O2:Z2"/>
    <mergeCell ref="O3:Z3"/>
    <mergeCell ref="W8:Z8"/>
    <mergeCell ref="AE6:AH6"/>
    <mergeCell ref="AI6:AL6"/>
    <mergeCell ref="AE8:AH8"/>
    <mergeCell ref="AI8:AL8"/>
    <mergeCell ref="AA5:AL5"/>
    <mergeCell ref="C8:F8"/>
    <mergeCell ref="O8:R8"/>
    <mergeCell ref="AA8:AD8"/>
    <mergeCell ref="C6:F6"/>
    <mergeCell ref="O6:R6"/>
    <mergeCell ref="AA6:AD6"/>
    <mergeCell ref="C5:N5"/>
    <mergeCell ref="G6:J6"/>
    <mergeCell ref="K6:N6"/>
    <mergeCell ref="G8:J8"/>
    <mergeCell ref="K8:N8"/>
    <mergeCell ref="S6:V6"/>
    <mergeCell ref="W6:Z6"/>
    <mergeCell ref="O5:Z5"/>
    <mergeCell ref="S8:V8"/>
  </mergeCells>
  <phoneticPr fontId="33" type="noConversion"/>
  <pageMargins left="0.39370078740157483" right="0.39370078740157483" top="0.78740157480314965" bottom="0.78740157480314965" header="0.62992125984251968" footer="0.39370078740157483"/>
  <pageSetup paperSize="9" scale="60" orientation="landscape" r:id="rId1"/>
  <headerFooter alignWithMargins="0">
    <oddHeader>&amp;C&amp;"Times New Roman CE,Félkövér"
&amp;R&amp;"Times New Roman CE,Félkövér"&amp;11 1. melléklet a 28/2016.(VI.24.) önkormányzati rendelethez&amp;"Times New Roman CE,Dőlt"&amp;10
 1. melléklet
a 3/2016.(II.12.) önkormányzati rendelethez</oddHeader>
    <oddFooter>&amp;P. oldal</oddFooter>
  </headerFooter>
  <rowBreaks count="1" manualBreakCount="1">
    <brk id="53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6"/>
  <sheetViews>
    <sheetView tabSelected="1" zoomScaleNormal="100" workbookViewId="0">
      <pane xSplit="2" ySplit="9" topLeftCell="C10" activePane="bottomRight" state="frozen"/>
      <selection activeCell="K211" sqref="K211"/>
      <selection pane="topRight" activeCell="K211" sqref="K211"/>
      <selection pane="bottomLeft" activeCell="K211" sqref="K211"/>
      <selection pane="bottomRight" activeCell="H18" sqref="H18"/>
    </sheetView>
  </sheetViews>
  <sheetFormatPr defaultRowHeight="15.75" x14ac:dyDescent="0.25"/>
  <cols>
    <col min="1" max="1" width="5" style="115" customWidth="1"/>
    <col min="2" max="2" width="40.875" style="115" customWidth="1"/>
    <col min="3" max="3" width="10.125" style="115" customWidth="1"/>
    <col min="4" max="4" width="10.75" style="115" customWidth="1"/>
    <col min="5" max="5" width="10" style="115" customWidth="1"/>
    <col min="6" max="6" width="9.625" style="115" bestFit="1" customWidth="1"/>
    <col min="7" max="7" width="10.75" style="115" customWidth="1"/>
    <col min="8" max="8" width="12.25" style="115" customWidth="1"/>
    <col min="9" max="9" width="11.625" style="115" customWidth="1"/>
    <col min="10" max="10" width="9.75" style="115" customWidth="1"/>
    <col min="11" max="11" width="9.875" style="115" customWidth="1"/>
    <col min="12" max="12" width="12" style="115" customWidth="1"/>
    <col min="13" max="13" width="9.875" style="115" customWidth="1"/>
    <col min="14" max="15" width="10.375" style="115" customWidth="1"/>
    <col min="16" max="16" width="16.25" style="115" customWidth="1"/>
    <col min="17" max="17" width="9.875" style="115" bestFit="1" customWidth="1"/>
    <col min="18" max="256" width="9" style="115"/>
    <col min="257" max="257" width="5" style="115" customWidth="1"/>
    <col min="258" max="258" width="40.875" style="115" customWidth="1"/>
    <col min="259" max="259" width="10.125" style="115" customWidth="1"/>
    <col min="260" max="260" width="10.75" style="115" customWidth="1"/>
    <col min="261" max="261" width="10" style="115" customWidth="1"/>
    <col min="262" max="262" width="9.625" style="115" bestFit="1" customWidth="1"/>
    <col min="263" max="263" width="10.75" style="115" customWidth="1"/>
    <col min="264" max="264" width="12.25" style="115" customWidth="1"/>
    <col min="265" max="265" width="11.625" style="115" customWidth="1"/>
    <col min="266" max="266" width="9.75" style="115" customWidth="1"/>
    <col min="267" max="267" width="9.875" style="115" customWidth="1"/>
    <col min="268" max="268" width="12" style="115" customWidth="1"/>
    <col min="269" max="269" width="9.875" style="115" customWidth="1"/>
    <col min="270" max="271" width="10.375" style="115" customWidth="1"/>
    <col min="272" max="272" width="16.25" style="115" customWidth="1"/>
    <col min="273" max="273" width="9.875" style="115" bestFit="1" customWidth="1"/>
    <col min="274" max="512" width="9" style="115"/>
    <col min="513" max="513" width="5" style="115" customWidth="1"/>
    <col min="514" max="514" width="40.875" style="115" customWidth="1"/>
    <col min="515" max="515" width="10.125" style="115" customWidth="1"/>
    <col min="516" max="516" width="10.75" style="115" customWidth="1"/>
    <col min="517" max="517" width="10" style="115" customWidth="1"/>
    <col min="518" max="518" width="9.625" style="115" bestFit="1" customWidth="1"/>
    <col min="519" max="519" width="10.75" style="115" customWidth="1"/>
    <col min="520" max="520" width="12.25" style="115" customWidth="1"/>
    <col min="521" max="521" width="11.625" style="115" customWidth="1"/>
    <col min="522" max="522" width="9.75" style="115" customWidth="1"/>
    <col min="523" max="523" width="9.875" style="115" customWidth="1"/>
    <col min="524" max="524" width="12" style="115" customWidth="1"/>
    <col min="525" max="525" width="9.875" style="115" customWidth="1"/>
    <col min="526" max="527" width="10.375" style="115" customWidth="1"/>
    <col min="528" max="528" width="16.25" style="115" customWidth="1"/>
    <col min="529" max="529" width="9.875" style="115" bestFit="1" customWidth="1"/>
    <col min="530" max="768" width="9" style="115"/>
    <col min="769" max="769" width="5" style="115" customWidth="1"/>
    <col min="770" max="770" width="40.875" style="115" customWidth="1"/>
    <col min="771" max="771" width="10.125" style="115" customWidth="1"/>
    <col min="772" max="772" width="10.75" style="115" customWidth="1"/>
    <col min="773" max="773" width="10" style="115" customWidth="1"/>
    <col min="774" max="774" width="9.625" style="115" bestFit="1" customWidth="1"/>
    <col min="775" max="775" width="10.75" style="115" customWidth="1"/>
    <col min="776" max="776" width="12.25" style="115" customWidth="1"/>
    <col min="777" max="777" width="11.625" style="115" customWidth="1"/>
    <col min="778" max="778" width="9.75" style="115" customWidth="1"/>
    <col min="779" max="779" width="9.875" style="115" customWidth="1"/>
    <col min="780" max="780" width="12" style="115" customWidth="1"/>
    <col min="781" max="781" width="9.875" style="115" customWidth="1"/>
    <col min="782" max="783" width="10.375" style="115" customWidth="1"/>
    <col min="784" max="784" width="16.25" style="115" customWidth="1"/>
    <col min="785" max="785" width="9.875" style="115" bestFit="1" customWidth="1"/>
    <col min="786" max="1024" width="9" style="115"/>
    <col min="1025" max="1025" width="5" style="115" customWidth="1"/>
    <col min="1026" max="1026" width="40.875" style="115" customWidth="1"/>
    <col min="1027" max="1027" width="10.125" style="115" customWidth="1"/>
    <col min="1028" max="1028" width="10.75" style="115" customWidth="1"/>
    <col min="1029" max="1029" width="10" style="115" customWidth="1"/>
    <col min="1030" max="1030" width="9.625" style="115" bestFit="1" customWidth="1"/>
    <col min="1031" max="1031" width="10.75" style="115" customWidth="1"/>
    <col min="1032" max="1032" width="12.25" style="115" customWidth="1"/>
    <col min="1033" max="1033" width="11.625" style="115" customWidth="1"/>
    <col min="1034" max="1034" width="9.75" style="115" customWidth="1"/>
    <col min="1035" max="1035" width="9.875" style="115" customWidth="1"/>
    <col min="1036" max="1036" width="12" style="115" customWidth="1"/>
    <col min="1037" max="1037" width="9.875" style="115" customWidth="1"/>
    <col min="1038" max="1039" width="10.375" style="115" customWidth="1"/>
    <col min="1040" max="1040" width="16.25" style="115" customWidth="1"/>
    <col min="1041" max="1041" width="9.875" style="115" bestFit="1" customWidth="1"/>
    <col min="1042" max="1280" width="9" style="115"/>
    <col min="1281" max="1281" width="5" style="115" customWidth="1"/>
    <col min="1282" max="1282" width="40.875" style="115" customWidth="1"/>
    <col min="1283" max="1283" width="10.125" style="115" customWidth="1"/>
    <col min="1284" max="1284" width="10.75" style="115" customWidth="1"/>
    <col min="1285" max="1285" width="10" style="115" customWidth="1"/>
    <col min="1286" max="1286" width="9.625" style="115" bestFit="1" customWidth="1"/>
    <col min="1287" max="1287" width="10.75" style="115" customWidth="1"/>
    <col min="1288" max="1288" width="12.25" style="115" customWidth="1"/>
    <col min="1289" max="1289" width="11.625" style="115" customWidth="1"/>
    <col min="1290" max="1290" width="9.75" style="115" customWidth="1"/>
    <col min="1291" max="1291" width="9.875" style="115" customWidth="1"/>
    <col min="1292" max="1292" width="12" style="115" customWidth="1"/>
    <col min="1293" max="1293" width="9.875" style="115" customWidth="1"/>
    <col min="1294" max="1295" width="10.375" style="115" customWidth="1"/>
    <col min="1296" max="1296" width="16.25" style="115" customWidth="1"/>
    <col min="1297" max="1297" width="9.875" style="115" bestFit="1" customWidth="1"/>
    <col min="1298" max="1536" width="9" style="115"/>
    <col min="1537" max="1537" width="5" style="115" customWidth="1"/>
    <col min="1538" max="1538" width="40.875" style="115" customWidth="1"/>
    <col min="1539" max="1539" width="10.125" style="115" customWidth="1"/>
    <col min="1540" max="1540" width="10.75" style="115" customWidth="1"/>
    <col min="1541" max="1541" width="10" style="115" customWidth="1"/>
    <col min="1542" max="1542" width="9.625" style="115" bestFit="1" customWidth="1"/>
    <col min="1543" max="1543" width="10.75" style="115" customWidth="1"/>
    <col min="1544" max="1544" width="12.25" style="115" customWidth="1"/>
    <col min="1545" max="1545" width="11.625" style="115" customWidth="1"/>
    <col min="1546" max="1546" width="9.75" style="115" customWidth="1"/>
    <col min="1547" max="1547" width="9.875" style="115" customWidth="1"/>
    <col min="1548" max="1548" width="12" style="115" customWidth="1"/>
    <col min="1549" max="1549" width="9.875" style="115" customWidth="1"/>
    <col min="1550" max="1551" width="10.375" style="115" customWidth="1"/>
    <col min="1552" max="1552" width="16.25" style="115" customWidth="1"/>
    <col min="1553" max="1553" width="9.875" style="115" bestFit="1" customWidth="1"/>
    <col min="1554" max="1792" width="9" style="115"/>
    <col min="1793" max="1793" width="5" style="115" customWidth="1"/>
    <col min="1794" max="1794" width="40.875" style="115" customWidth="1"/>
    <col min="1795" max="1795" width="10.125" style="115" customWidth="1"/>
    <col min="1796" max="1796" width="10.75" style="115" customWidth="1"/>
    <col min="1797" max="1797" width="10" style="115" customWidth="1"/>
    <col min="1798" max="1798" width="9.625" style="115" bestFit="1" customWidth="1"/>
    <col min="1799" max="1799" width="10.75" style="115" customWidth="1"/>
    <col min="1800" max="1800" width="12.25" style="115" customWidth="1"/>
    <col min="1801" max="1801" width="11.625" style="115" customWidth="1"/>
    <col min="1802" max="1802" width="9.75" style="115" customWidth="1"/>
    <col min="1803" max="1803" width="9.875" style="115" customWidth="1"/>
    <col min="1804" max="1804" width="12" style="115" customWidth="1"/>
    <col min="1805" max="1805" width="9.875" style="115" customWidth="1"/>
    <col min="1806" max="1807" width="10.375" style="115" customWidth="1"/>
    <col min="1808" max="1808" width="16.25" style="115" customWidth="1"/>
    <col min="1809" max="1809" width="9.875" style="115" bestFit="1" customWidth="1"/>
    <col min="1810" max="2048" width="9" style="115"/>
    <col min="2049" max="2049" width="5" style="115" customWidth="1"/>
    <col min="2050" max="2050" width="40.875" style="115" customWidth="1"/>
    <col min="2051" max="2051" width="10.125" style="115" customWidth="1"/>
    <col min="2052" max="2052" width="10.75" style="115" customWidth="1"/>
    <col min="2053" max="2053" width="10" style="115" customWidth="1"/>
    <col min="2054" max="2054" width="9.625" style="115" bestFit="1" customWidth="1"/>
    <col min="2055" max="2055" width="10.75" style="115" customWidth="1"/>
    <col min="2056" max="2056" width="12.25" style="115" customWidth="1"/>
    <col min="2057" max="2057" width="11.625" style="115" customWidth="1"/>
    <col min="2058" max="2058" width="9.75" style="115" customWidth="1"/>
    <col min="2059" max="2059" width="9.875" style="115" customWidth="1"/>
    <col min="2060" max="2060" width="12" style="115" customWidth="1"/>
    <col min="2061" max="2061" width="9.875" style="115" customWidth="1"/>
    <col min="2062" max="2063" width="10.375" style="115" customWidth="1"/>
    <col min="2064" max="2064" width="16.25" style="115" customWidth="1"/>
    <col min="2065" max="2065" width="9.875" style="115" bestFit="1" customWidth="1"/>
    <col min="2066" max="2304" width="9" style="115"/>
    <col min="2305" max="2305" width="5" style="115" customWidth="1"/>
    <col min="2306" max="2306" width="40.875" style="115" customWidth="1"/>
    <col min="2307" max="2307" width="10.125" style="115" customWidth="1"/>
    <col min="2308" max="2308" width="10.75" style="115" customWidth="1"/>
    <col min="2309" max="2309" width="10" style="115" customWidth="1"/>
    <col min="2310" max="2310" width="9.625" style="115" bestFit="1" customWidth="1"/>
    <col min="2311" max="2311" width="10.75" style="115" customWidth="1"/>
    <col min="2312" max="2312" width="12.25" style="115" customWidth="1"/>
    <col min="2313" max="2313" width="11.625" style="115" customWidth="1"/>
    <col min="2314" max="2314" width="9.75" style="115" customWidth="1"/>
    <col min="2315" max="2315" width="9.875" style="115" customWidth="1"/>
    <col min="2316" max="2316" width="12" style="115" customWidth="1"/>
    <col min="2317" max="2317" width="9.875" style="115" customWidth="1"/>
    <col min="2318" max="2319" width="10.375" style="115" customWidth="1"/>
    <col min="2320" max="2320" width="16.25" style="115" customWidth="1"/>
    <col min="2321" max="2321" width="9.875" style="115" bestFit="1" customWidth="1"/>
    <col min="2322" max="2560" width="9" style="115"/>
    <col min="2561" max="2561" width="5" style="115" customWidth="1"/>
    <col min="2562" max="2562" width="40.875" style="115" customWidth="1"/>
    <col min="2563" max="2563" width="10.125" style="115" customWidth="1"/>
    <col min="2564" max="2564" width="10.75" style="115" customWidth="1"/>
    <col min="2565" max="2565" width="10" style="115" customWidth="1"/>
    <col min="2566" max="2566" width="9.625" style="115" bestFit="1" customWidth="1"/>
    <col min="2567" max="2567" width="10.75" style="115" customWidth="1"/>
    <col min="2568" max="2568" width="12.25" style="115" customWidth="1"/>
    <col min="2569" max="2569" width="11.625" style="115" customWidth="1"/>
    <col min="2570" max="2570" width="9.75" style="115" customWidth="1"/>
    <col min="2571" max="2571" width="9.875" style="115" customWidth="1"/>
    <col min="2572" max="2572" width="12" style="115" customWidth="1"/>
    <col min="2573" max="2573" width="9.875" style="115" customWidth="1"/>
    <col min="2574" max="2575" width="10.375" style="115" customWidth="1"/>
    <col min="2576" max="2576" width="16.25" style="115" customWidth="1"/>
    <col min="2577" max="2577" width="9.875" style="115" bestFit="1" customWidth="1"/>
    <col min="2578" max="2816" width="9" style="115"/>
    <col min="2817" max="2817" width="5" style="115" customWidth="1"/>
    <col min="2818" max="2818" width="40.875" style="115" customWidth="1"/>
    <col min="2819" max="2819" width="10.125" style="115" customWidth="1"/>
    <col min="2820" max="2820" width="10.75" style="115" customWidth="1"/>
    <col min="2821" max="2821" width="10" style="115" customWidth="1"/>
    <col min="2822" max="2822" width="9.625" style="115" bestFit="1" customWidth="1"/>
    <col min="2823" max="2823" width="10.75" style="115" customWidth="1"/>
    <col min="2824" max="2824" width="12.25" style="115" customWidth="1"/>
    <col min="2825" max="2825" width="11.625" style="115" customWidth="1"/>
    <col min="2826" max="2826" width="9.75" style="115" customWidth="1"/>
    <col min="2827" max="2827" width="9.875" style="115" customWidth="1"/>
    <col min="2828" max="2828" width="12" style="115" customWidth="1"/>
    <col min="2829" max="2829" width="9.875" style="115" customWidth="1"/>
    <col min="2830" max="2831" width="10.375" style="115" customWidth="1"/>
    <col min="2832" max="2832" width="16.25" style="115" customWidth="1"/>
    <col min="2833" max="2833" width="9.875" style="115" bestFit="1" customWidth="1"/>
    <col min="2834" max="3072" width="9" style="115"/>
    <col min="3073" max="3073" width="5" style="115" customWidth="1"/>
    <col min="3074" max="3074" width="40.875" style="115" customWidth="1"/>
    <col min="3075" max="3075" width="10.125" style="115" customWidth="1"/>
    <col min="3076" max="3076" width="10.75" style="115" customWidth="1"/>
    <col min="3077" max="3077" width="10" style="115" customWidth="1"/>
    <col min="3078" max="3078" width="9.625" style="115" bestFit="1" customWidth="1"/>
    <col min="3079" max="3079" width="10.75" style="115" customWidth="1"/>
    <col min="3080" max="3080" width="12.25" style="115" customWidth="1"/>
    <col min="3081" max="3081" width="11.625" style="115" customWidth="1"/>
    <col min="3082" max="3082" width="9.75" style="115" customWidth="1"/>
    <col min="3083" max="3083" width="9.875" style="115" customWidth="1"/>
    <col min="3084" max="3084" width="12" style="115" customWidth="1"/>
    <col min="3085" max="3085" width="9.875" style="115" customWidth="1"/>
    <col min="3086" max="3087" width="10.375" style="115" customWidth="1"/>
    <col min="3088" max="3088" width="16.25" style="115" customWidth="1"/>
    <col min="3089" max="3089" width="9.875" style="115" bestFit="1" customWidth="1"/>
    <col min="3090" max="3328" width="9" style="115"/>
    <col min="3329" max="3329" width="5" style="115" customWidth="1"/>
    <col min="3330" max="3330" width="40.875" style="115" customWidth="1"/>
    <col min="3331" max="3331" width="10.125" style="115" customWidth="1"/>
    <col min="3332" max="3332" width="10.75" style="115" customWidth="1"/>
    <col min="3333" max="3333" width="10" style="115" customWidth="1"/>
    <col min="3334" max="3334" width="9.625" style="115" bestFit="1" customWidth="1"/>
    <col min="3335" max="3335" width="10.75" style="115" customWidth="1"/>
    <col min="3336" max="3336" width="12.25" style="115" customWidth="1"/>
    <col min="3337" max="3337" width="11.625" style="115" customWidth="1"/>
    <col min="3338" max="3338" width="9.75" style="115" customWidth="1"/>
    <col min="3339" max="3339" width="9.875" style="115" customWidth="1"/>
    <col min="3340" max="3340" width="12" style="115" customWidth="1"/>
    <col min="3341" max="3341" width="9.875" style="115" customWidth="1"/>
    <col min="3342" max="3343" width="10.375" style="115" customWidth="1"/>
    <col min="3344" max="3344" width="16.25" style="115" customWidth="1"/>
    <col min="3345" max="3345" width="9.875" style="115" bestFit="1" customWidth="1"/>
    <col min="3346" max="3584" width="9" style="115"/>
    <col min="3585" max="3585" width="5" style="115" customWidth="1"/>
    <col min="3586" max="3586" width="40.875" style="115" customWidth="1"/>
    <col min="3587" max="3587" width="10.125" style="115" customWidth="1"/>
    <col min="3588" max="3588" width="10.75" style="115" customWidth="1"/>
    <col min="3589" max="3589" width="10" style="115" customWidth="1"/>
    <col min="3590" max="3590" width="9.625" style="115" bestFit="1" customWidth="1"/>
    <col min="3591" max="3591" width="10.75" style="115" customWidth="1"/>
    <col min="3592" max="3592" width="12.25" style="115" customWidth="1"/>
    <col min="3593" max="3593" width="11.625" style="115" customWidth="1"/>
    <col min="3594" max="3594" width="9.75" style="115" customWidth="1"/>
    <col min="3595" max="3595" width="9.875" style="115" customWidth="1"/>
    <col min="3596" max="3596" width="12" style="115" customWidth="1"/>
    <col min="3597" max="3597" width="9.875" style="115" customWidth="1"/>
    <col min="3598" max="3599" width="10.375" style="115" customWidth="1"/>
    <col min="3600" max="3600" width="16.25" style="115" customWidth="1"/>
    <col min="3601" max="3601" width="9.875" style="115" bestFit="1" customWidth="1"/>
    <col min="3602" max="3840" width="9" style="115"/>
    <col min="3841" max="3841" width="5" style="115" customWidth="1"/>
    <col min="3842" max="3842" width="40.875" style="115" customWidth="1"/>
    <col min="3843" max="3843" width="10.125" style="115" customWidth="1"/>
    <col min="3844" max="3844" width="10.75" style="115" customWidth="1"/>
    <col min="3845" max="3845" width="10" style="115" customWidth="1"/>
    <col min="3846" max="3846" width="9.625" style="115" bestFit="1" customWidth="1"/>
    <col min="3847" max="3847" width="10.75" style="115" customWidth="1"/>
    <col min="3848" max="3848" width="12.25" style="115" customWidth="1"/>
    <col min="3849" max="3849" width="11.625" style="115" customWidth="1"/>
    <col min="3850" max="3850" width="9.75" style="115" customWidth="1"/>
    <col min="3851" max="3851" width="9.875" style="115" customWidth="1"/>
    <col min="3852" max="3852" width="12" style="115" customWidth="1"/>
    <col min="3853" max="3853" width="9.875" style="115" customWidth="1"/>
    <col min="3854" max="3855" width="10.375" style="115" customWidth="1"/>
    <col min="3856" max="3856" width="16.25" style="115" customWidth="1"/>
    <col min="3857" max="3857" width="9.875" style="115" bestFit="1" customWidth="1"/>
    <col min="3858" max="4096" width="9" style="115"/>
    <col min="4097" max="4097" width="5" style="115" customWidth="1"/>
    <col min="4098" max="4098" width="40.875" style="115" customWidth="1"/>
    <col min="4099" max="4099" width="10.125" style="115" customWidth="1"/>
    <col min="4100" max="4100" width="10.75" style="115" customWidth="1"/>
    <col min="4101" max="4101" width="10" style="115" customWidth="1"/>
    <col min="4102" max="4102" width="9.625" style="115" bestFit="1" customWidth="1"/>
    <col min="4103" max="4103" width="10.75" style="115" customWidth="1"/>
    <col min="4104" max="4104" width="12.25" style="115" customWidth="1"/>
    <col min="4105" max="4105" width="11.625" style="115" customWidth="1"/>
    <col min="4106" max="4106" width="9.75" style="115" customWidth="1"/>
    <col min="4107" max="4107" width="9.875" style="115" customWidth="1"/>
    <col min="4108" max="4108" width="12" style="115" customWidth="1"/>
    <col min="4109" max="4109" width="9.875" style="115" customWidth="1"/>
    <col min="4110" max="4111" width="10.375" style="115" customWidth="1"/>
    <col min="4112" max="4112" width="16.25" style="115" customWidth="1"/>
    <col min="4113" max="4113" width="9.875" style="115" bestFit="1" customWidth="1"/>
    <col min="4114" max="4352" width="9" style="115"/>
    <col min="4353" max="4353" width="5" style="115" customWidth="1"/>
    <col min="4354" max="4354" width="40.875" style="115" customWidth="1"/>
    <col min="4355" max="4355" width="10.125" style="115" customWidth="1"/>
    <col min="4356" max="4356" width="10.75" style="115" customWidth="1"/>
    <col min="4357" max="4357" width="10" style="115" customWidth="1"/>
    <col min="4358" max="4358" width="9.625" style="115" bestFit="1" customWidth="1"/>
    <col min="4359" max="4359" width="10.75" style="115" customWidth="1"/>
    <col min="4360" max="4360" width="12.25" style="115" customWidth="1"/>
    <col min="4361" max="4361" width="11.625" style="115" customWidth="1"/>
    <col min="4362" max="4362" width="9.75" style="115" customWidth="1"/>
    <col min="4363" max="4363" width="9.875" style="115" customWidth="1"/>
    <col min="4364" max="4364" width="12" style="115" customWidth="1"/>
    <col min="4365" max="4365" width="9.875" style="115" customWidth="1"/>
    <col min="4366" max="4367" width="10.375" style="115" customWidth="1"/>
    <col min="4368" max="4368" width="16.25" style="115" customWidth="1"/>
    <col min="4369" max="4369" width="9.875" style="115" bestFit="1" customWidth="1"/>
    <col min="4370" max="4608" width="9" style="115"/>
    <col min="4609" max="4609" width="5" style="115" customWidth="1"/>
    <col min="4610" max="4610" width="40.875" style="115" customWidth="1"/>
    <col min="4611" max="4611" width="10.125" style="115" customWidth="1"/>
    <col min="4612" max="4612" width="10.75" style="115" customWidth="1"/>
    <col min="4613" max="4613" width="10" style="115" customWidth="1"/>
    <col min="4614" max="4614" width="9.625" style="115" bestFit="1" customWidth="1"/>
    <col min="4615" max="4615" width="10.75" style="115" customWidth="1"/>
    <col min="4616" max="4616" width="12.25" style="115" customWidth="1"/>
    <col min="4617" max="4617" width="11.625" style="115" customWidth="1"/>
    <col min="4618" max="4618" width="9.75" style="115" customWidth="1"/>
    <col min="4619" max="4619" width="9.875" style="115" customWidth="1"/>
    <col min="4620" max="4620" width="12" style="115" customWidth="1"/>
    <col min="4621" max="4621" width="9.875" style="115" customWidth="1"/>
    <col min="4622" max="4623" width="10.375" style="115" customWidth="1"/>
    <col min="4624" max="4624" width="16.25" style="115" customWidth="1"/>
    <col min="4625" max="4625" width="9.875" style="115" bestFit="1" customWidth="1"/>
    <col min="4626" max="4864" width="9" style="115"/>
    <col min="4865" max="4865" width="5" style="115" customWidth="1"/>
    <col min="4866" max="4866" width="40.875" style="115" customWidth="1"/>
    <col min="4867" max="4867" width="10.125" style="115" customWidth="1"/>
    <col min="4868" max="4868" width="10.75" style="115" customWidth="1"/>
    <col min="4869" max="4869" width="10" style="115" customWidth="1"/>
    <col min="4870" max="4870" width="9.625" style="115" bestFit="1" customWidth="1"/>
    <col min="4871" max="4871" width="10.75" style="115" customWidth="1"/>
    <col min="4872" max="4872" width="12.25" style="115" customWidth="1"/>
    <col min="4873" max="4873" width="11.625" style="115" customWidth="1"/>
    <col min="4874" max="4874" width="9.75" style="115" customWidth="1"/>
    <col min="4875" max="4875" width="9.875" style="115" customWidth="1"/>
    <col min="4876" max="4876" width="12" style="115" customWidth="1"/>
    <col min="4877" max="4877" width="9.875" style="115" customWidth="1"/>
    <col min="4878" max="4879" width="10.375" style="115" customWidth="1"/>
    <col min="4880" max="4880" width="16.25" style="115" customWidth="1"/>
    <col min="4881" max="4881" width="9.875" style="115" bestFit="1" customWidth="1"/>
    <col min="4882" max="5120" width="9" style="115"/>
    <col min="5121" max="5121" width="5" style="115" customWidth="1"/>
    <col min="5122" max="5122" width="40.875" style="115" customWidth="1"/>
    <col min="5123" max="5123" width="10.125" style="115" customWidth="1"/>
    <col min="5124" max="5124" width="10.75" style="115" customWidth="1"/>
    <col min="5125" max="5125" width="10" style="115" customWidth="1"/>
    <col min="5126" max="5126" width="9.625" style="115" bestFit="1" customWidth="1"/>
    <col min="5127" max="5127" width="10.75" style="115" customWidth="1"/>
    <col min="5128" max="5128" width="12.25" style="115" customWidth="1"/>
    <col min="5129" max="5129" width="11.625" style="115" customWidth="1"/>
    <col min="5130" max="5130" width="9.75" style="115" customWidth="1"/>
    <col min="5131" max="5131" width="9.875" style="115" customWidth="1"/>
    <col min="5132" max="5132" width="12" style="115" customWidth="1"/>
    <col min="5133" max="5133" width="9.875" style="115" customWidth="1"/>
    <col min="5134" max="5135" width="10.375" style="115" customWidth="1"/>
    <col min="5136" max="5136" width="16.25" style="115" customWidth="1"/>
    <col min="5137" max="5137" width="9.875" style="115" bestFit="1" customWidth="1"/>
    <col min="5138" max="5376" width="9" style="115"/>
    <col min="5377" max="5377" width="5" style="115" customWidth="1"/>
    <col min="5378" max="5378" width="40.875" style="115" customWidth="1"/>
    <col min="5379" max="5379" width="10.125" style="115" customWidth="1"/>
    <col min="5380" max="5380" width="10.75" style="115" customWidth="1"/>
    <col min="5381" max="5381" width="10" style="115" customWidth="1"/>
    <col min="5382" max="5382" width="9.625" style="115" bestFit="1" customWidth="1"/>
    <col min="5383" max="5383" width="10.75" style="115" customWidth="1"/>
    <col min="5384" max="5384" width="12.25" style="115" customWidth="1"/>
    <col min="5385" max="5385" width="11.625" style="115" customWidth="1"/>
    <col min="5386" max="5386" width="9.75" style="115" customWidth="1"/>
    <col min="5387" max="5387" width="9.875" style="115" customWidth="1"/>
    <col min="5388" max="5388" width="12" style="115" customWidth="1"/>
    <col min="5389" max="5389" width="9.875" style="115" customWidth="1"/>
    <col min="5390" max="5391" width="10.375" style="115" customWidth="1"/>
    <col min="5392" max="5392" width="16.25" style="115" customWidth="1"/>
    <col min="5393" max="5393" width="9.875" style="115" bestFit="1" customWidth="1"/>
    <col min="5394" max="5632" width="9" style="115"/>
    <col min="5633" max="5633" width="5" style="115" customWidth="1"/>
    <col min="5634" max="5634" width="40.875" style="115" customWidth="1"/>
    <col min="5635" max="5635" width="10.125" style="115" customWidth="1"/>
    <col min="5636" max="5636" width="10.75" style="115" customWidth="1"/>
    <col min="5637" max="5637" width="10" style="115" customWidth="1"/>
    <col min="5638" max="5638" width="9.625" style="115" bestFit="1" customWidth="1"/>
    <col min="5639" max="5639" width="10.75" style="115" customWidth="1"/>
    <col min="5640" max="5640" width="12.25" style="115" customWidth="1"/>
    <col min="5641" max="5641" width="11.625" style="115" customWidth="1"/>
    <col min="5642" max="5642" width="9.75" style="115" customWidth="1"/>
    <col min="5643" max="5643" width="9.875" style="115" customWidth="1"/>
    <col min="5644" max="5644" width="12" style="115" customWidth="1"/>
    <col min="5645" max="5645" width="9.875" style="115" customWidth="1"/>
    <col min="5646" max="5647" width="10.375" style="115" customWidth="1"/>
    <col min="5648" max="5648" width="16.25" style="115" customWidth="1"/>
    <col min="5649" max="5649" width="9.875" style="115" bestFit="1" customWidth="1"/>
    <col min="5650" max="5888" width="9" style="115"/>
    <col min="5889" max="5889" width="5" style="115" customWidth="1"/>
    <col min="5890" max="5890" width="40.875" style="115" customWidth="1"/>
    <col min="5891" max="5891" width="10.125" style="115" customWidth="1"/>
    <col min="5892" max="5892" width="10.75" style="115" customWidth="1"/>
    <col min="5893" max="5893" width="10" style="115" customWidth="1"/>
    <col min="5894" max="5894" width="9.625" style="115" bestFit="1" customWidth="1"/>
    <col min="5895" max="5895" width="10.75" style="115" customWidth="1"/>
    <col min="5896" max="5896" width="12.25" style="115" customWidth="1"/>
    <col min="5897" max="5897" width="11.625" style="115" customWidth="1"/>
    <col min="5898" max="5898" width="9.75" style="115" customWidth="1"/>
    <col min="5899" max="5899" width="9.875" style="115" customWidth="1"/>
    <col min="5900" max="5900" width="12" style="115" customWidth="1"/>
    <col min="5901" max="5901" width="9.875" style="115" customWidth="1"/>
    <col min="5902" max="5903" width="10.375" style="115" customWidth="1"/>
    <col min="5904" max="5904" width="16.25" style="115" customWidth="1"/>
    <col min="5905" max="5905" width="9.875" style="115" bestFit="1" customWidth="1"/>
    <col min="5906" max="6144" width="9" style="115"/>
    <col min="6145" max="6145" width="5" style="115" customWidth="1"/>
    <col min="6146" max="6146" width="40.875" style="115" customWidth="1"/>
    <col min="6147" max="6147" width="10.125" style="115" customWidth="1"/>
    <col min="6148" max="6148" width="10.75" style="115" customWidth="1"/>
    <col min="6149" max="6149" width="10" style="115" customWidth="1"/>
    <col min="6150" max="6150" width="9.625" style="115" bestFit="1" customWidth="1"/>
    <col min="6151" max="6151" width="10.75" style="115" customWidth="1"/>
    <col min="6152" max="6152" width="12.25" style="115" customWidth="1"/>
    <col min="6153" max="6153" width="11.625" style="115" customWidth="1"/>
    <col min="6154" max="6154" width="9.75" style="115" customWidth="1"/>
    <col min="6155" max="6155" width="9.875" style="115" customWidth="1"/>
    <col min="6156" max="6156" width="12" style="115" customWidth="1"/>
    <col min="6157" max="6157" width="9.875" style="115" customWidth="1"/>
    <col min="6158" max="6159" width="10.375" style="115" customWidth="1"/>
    <col min="6160" max="6160" width="16.25" style="115" customWidth="1"/>
    <col min="6161" max="6161" width="9.875" style="115" bestFit="1" customWidth="1"/>
    <col min="6162" max="6400" width="9" style="115"/>
    <col min="6401" max="6401" width="5" style="115" customWidth="1"/>
    <col min="6402" max="6402" width="40.875" style="115" customWidth="1"/>
    <col min="6403" max="6403" width="10.125" style="115" customWidth="1"/>
    <col min="6404" max="6404" width="10.75" style="115" customWidth="1"/>
    <col min="6405" max="6405" width="10" style="115" customWidth="1"/>
    <col min="6406" max="6406" width="9.625" style="115" bestFit="1" customWidth="1"/>
    <col min="6407" max="6407" width="10.75" style="115" customWidth="1"/>
    <col min="6408" max="6408" width="12.25" style="115" customWidth="1"/>
    <col min="6409" max="6409" width="11.625" style="115" customWidth="1"/>
    <col min="6410" max="6410" width="9.75" style="115" customWidth="1"/>
    <col min="6411" max="6411" width="9.875" style="115" customWidth="1"/>
    <col min="6412" max="6412" width="12" style="115" customWidth="1"/>
    <col min="6413" max="6413" width="9.875" style="115" customWidth="1"/>
    <col min="6414" max="6415" width="10.375" style="115" customWidth="1"/>
    <col min="6416" max="6416" width="16.25" style="115" customWidth="1"/>
    <col min="6417" max="6417" width="9.875" style="115" bestFit="1" customWidth="1"/>
    <col min="6418" max="6656" width="9" style="115"/>
    <col min="6657" max="6657" width="5" style="115" customWidth="1"/>
    <col min="6658" max="6658" width="40.875" style="115" customWidth="1"/>
    <col min="6659" max="6659" width="10.125" style="115" customWidth="1"/>
    <col min="6660" max="6660" width="10.75" style="115" customWidth="1"/>
    <col min="6661" max="6661" width="10" style="115" customWidth="1"/>
    <col min="6662" max="6662" width="9.625" style="115" bestFit="1" customWidth="1"/>
    <col min="6663" max="6663" width="10.75" style="115" customWidth="1"/>
    <col min="6664" max="6664" width="12.25" style="115" customWidth="1"/>
    <col min="6665" max="6665" width="11.625" style="115" customWidth="1"/>
    <col min="6666" max="6666" width="9.75" style="115" customWidth="1"/>
    <col min="6667" max="6667" width="9.875" style="115" customWidth="1"/>
    <col min="6668" max="6668" width="12" style="115" customWidth="1"/>
    <col min="6669" max="6669" width="9.875" style="115" customWidth="1"/>
    <col min="6670" max="6671" width="10.375" style="115" customWidth="1"/>
    <col min="6672" max="6672" width="16.25" style="115" customWidth="1"/>
    <col min="6673" max="6673" width="9.875" style="115" bestFit="1" customWidth="1"/>
    <col min="6674" max="6912" width="9" style="115"/>
    <col min="6913" max="6913" width="5" style="115" customWidth="1"/>
    <col min="6914" max="6914" width="40.875" style="115" customWidth="1"/>
    <col min="6915" max="6915" width="10.125" style="115" customWidth="1"/>
    <col min="6916" max="6916" width="10.75" style="115" customWidth="1"/>
    <col min="6917" max="6917" width="10" style="115" customWidth="1"/>
    <col min="6918" max="6918" width="9.625" style="115" bestFit="1" customWidth="1"/>
    <col min="6919" max="6919" width="10.75" style="115" customWidth="1"/>
    <col min="6920" max="6920" width="12.25" style="115" customWidth="1"/>
    <col min="6921" max="6921" width="11.625" style="115" customWidth="1"/>
    <col min="6922" max="6922" width="9.75" style="115" customWidth="1"/>
    <col min="6923" max="6923" width="9.875" style="115" customWidth="1"/>
    <col min="6924" max="6924" width="12" style="115" customWidth="1"/>
    <col min="6925" max="6925" width="9.875" style="115" customWidth="1"/>
    <col min="6926" max="6927" width="10.375" style="115" customWidth="1"/>
    <col min="6928" max="6928" width="16.25" style="115" customWidth="1"/>
    <col min="6929" max="6929" width="9.875" style="115" bestFit="1" customWidth="1"/>
    <col min="6930" max="7168" width="9" style="115"/>
    <col min="7169" max="7169" width="5" style="115" customWidth="1"/>
    <col min="7170" max="7170" width="40.875" style="115" customWidth="1"/>
    <col min="7171" max="7171" width="10.125" style="115" customWidth="1"/>
    <col min="7172" max="7172" width="10.75" style="115" customWidth="1"/>
    <col min="7173" max="7173" width="10" style="115" customWidth="1"/>
    <col min="7174" max="7174" width="9.625" style="115" bestFit="1" customWidth="1"/>
    <col min="7175" max="7175" width="10.75" style="115" customWidth="1"/>
    <col min="7176" max="7176" width="12.25" style="115" customWidth="1"/>
    <col min="7177" max="7177" width="11.625" style="115" customWidth="1"/>
    <col min="7178" max="7178" width="9.75" style="115" customWidth="1"/>
    <col min="7179" max="7179" width="9.875" style="115" customWidth="1"/>
    <col min="7180" max="7180" width="12" style="115" customWidth="1"/>
    <col min="7181" max="7181" width="9.875" style="115" customWidth="1"/>
    <col min="7182" max="7183" width="10.375" style="115" customWidth="1"/>
    <col min="7184" max="7184" width="16.25" style="115" customWidth="1"/>
    <col min="7185" max="7185" width="9.875" style="115" bestFit="1" customWidth="1"/>
    <col min="7186" max="7424" width="9" style="115"/>
    <col min="7425" max="7425" width="5" style="115" customWidth="1"/>
    <col min="7426" max="7426" width="40.875" style="115" customWidth="1"/>
    <col min="7427" max="7427" width="10.125" style="115" customWidth="1"/>
    <col min="7428" max="7428" width="10.75" style="115" customWidth="1"/>
    <col min="7429" max="7429" width="10" style="115" customWidth="1"/>
    <col min="7430" max="7430" width="9.625" style="115" bestFit="1" customWidth="1"/>
    <col min="7431" max="7431" width="10.75" style="115" customWidth="1"/>
    <col min="7432" max="7432" width="12.25" style="115" customWidth="1"/>
    <col min="7433" max="7433" width="11.625" style="115" customWidth="1"/>
    <col min="7434" max="7434" width="9.75" style="115" customWidth="1"/>
    <col min="7435" max="7435" width="9.875" style="115" customWidth="1"/>
    <col min="7436" max="7436" width="12" style="115" customWidth="1"/>
    <col min="7437" max="7437" width="9.875" style="115" customWidth="1"/>
    <col min="7438" max="7439" width="10.375" style="115" customWidth="1"/>
    <col min="7440" max="7440" width="16.25" style="115" customWidth="1"/>
    <col min="7441" max="7441" width="9.875" style="115" bestFit="1" customWidth="1"/>
    <col min="7442" max="7680" width="9" style="115"/>
    <col min="7681" max="7681" width="5" style="115" customWidth="1"/>
    <col min="7682" max="7682" width="40.875" style="115" customWidth="1"/>
    <col min="7683" max="7683" width="10.125" style="115" customWidth="1"/>
    <col min="7684" max="7684" width="10.75" style="115" customWidth="1"/>
    <col min="7685" max="7685" width="10" style="115" customWidth="1"/>
    <col min="7686" max="7686" width="9.625" style="115" bestFit="1" customWidth="1"/>
    <col min="7687" max="7687" width="10.75" style="115" customWidth="1"/>
    <col min="7688" max="7688" width="12.25" style="115" customWidth="1"/>
    <col min="7689" max="7689" width="11.625" style="115" customWidth="1"/>
    <col min="7690" max="7690" width="9.75" style="115" customWidth="1"/>
    <col min="7691" max="7691" width="9.875" style="115" customWidth="1"/>
    <col min="7692" max="7692" width="12" style="115" customWidth="1"/>
    <col min="7693" max="7693" width="9.875" style="115" customWidth="1"/>
    <col min="7694" max="7695" width="10.375" style="115" customWidth="1"/>
    <col min="7696" max="7696" width="16.25" style="115" customWidth="1"/>
    <col min="7697" max="7697" width="9.875" style="115" bestFit="1" customWidth="1"/>
    <col min="7698" max="7936" width="9" style="115"/>
    <col min="7937" max="7937" width="5" style="115" customWidth="1"/>
    <col min="7938" max="7938" width="40.875" style="115" customWidth="1"/>
    <col min="7939" max="7939" width="10.125" style="115" customWidth="1"/>
    <col min="7940" max="7940" width="10.75" style="115" customWidth="1"/>
    <col min="7941" max="7941" width="10" style="115" customWidth="1"/>
    <col min="7942" max="7942" width="9.625" style="115" bestFit="1" customWidth="1"/>
    <col min="7943" max="7943" width="10.75" style="115" customWidth="1"/>
    <col min="7944" max="7944" width="12.25" style="115" customWidth="1"/>
    <col min="7945" max="7945" width="11.625" style="115" customWidth="1"/>
    <col min="7946" max="7946" width="9.75" style="115" customWidth="1"/>
    <col min="7947" max="7947" width="9.875" style="115" customWidth="1"/>
    <col min="7948" max="7948" width="12" style="115" customWidth="1"/>
    <col min="7949" max="7949" width="9.875" style="115" customWidth="1"/>
    <col min="7950" max="7951" width="10.375" style="115" customWidth="1"/>
    <col min="7952" max="7952" width="16.25" style="115" customWidth="1"/>
    <col min="7953" max="7953" width="9.875" style="115" bestFit="1" customWidth="1"/>
    <col min="7954" max="8192" width="9" style="115"/>
    <col min="8193" max="8193" width="5" style="115" customWidth="1"/>
    <col min="8194" max="8194" width="40.875" style="115" customWidth="1"/>
    <col min="8195" max="8195" width="10.125" style="115" customWidth="1"/>
    <col min="8196" max="8196" width="10.75" style="115" customWidth="1"/>
    <col min="8197" max="8197" width="10" style="115" customWidth="1"/>
    <col min="8198" max="8198" width="9.625" style="115" bestFit="1" customWidth="1"/>
    <col min="8199" max="8199" width="10.75" style="115" customWidth="1"/>
    <col min="8200" max="8200" width="12.25" style="115" customWidth="1"/>
    <col min="8201" max="8201" width="11.625" style="115" customWidth="1"/>
    <col min="8202" max="8202" width="9.75" style="115" customWidth="1"/>
    <col min="8203" max="8203" width="9.875" style="115" customWidth="1"/>
    <col min="8204" max="8204" width="12" style="115" customWidth="1"/>
    <col min="8205" max="8205" width="9.875" style="115" customWidth="1"/>
    <col min="8206" max="8207" width="10.375" style="115" customWidth="1"/>
    <col min="8208" max="8208" width="16.25" style="115" customWidth="1"/>
    <col min="8209" max="8209" width="9.875" style="115" bestFit="1" customWidth="1"/>
    <col min="8210" max="8448" width="9" style="115"/>
    <col min="8449" max="8449" width="5" style="115" customWidth="1"/>
    <col min="8450" max="8450" width="40.875" style="115" customWidth="1"/>
    <col min="8451" max="8451" width="10.125" style="115" customWidth="1"/>
    <col min="8452" max="8452" width="10.75" style="115" customWidth="1"/>
    <col min="8453" max="8453" width="10" style="115" customWidth="1"/>
    <col min="8454" max="8454" width="9.625" style="115" bestFit="1" customWidth="1"/>
    <col min="8455" max="8455" width="10.75" style="115" customWidth="1"/>
    <col min="8456" max="8456" width="12.25" style="115" customWidth="1"/>
    <col min="8457" max="8457" width="11.625" style="115" customWidth="1"/>
    <col min="8458" max="8458" width="9.75" style="115" customWidth="1"/>
    <col min="8459" max="8459" width="9.875" style="115" customWidth="1"/>
    <col min="8460" max="8460" width="12" style="115" customWidth="1"/>
    <col min="8461" max="8461" width="9.875" style="115" customWidth="1"/>
    <col min="8462" max="8463" width="10.375" style="115" customWidth="1"/>
    <col min="8464" max="8464" width="16.25" style="115" customWidth="1"/>
    <col min="8465" max="8465" width="9.875" style="115" bestFit="1" customWidth="1"/>
    <col min="8466" max="8704" width="9" style="115"/>
    <col min="8705" max="8705" width="5" style="115" customWidth="1"/>
    <col min="8706" max="8706" width="40.875" style="115" customWidth="1"/>
    <col min="8707" max="8707" width="10.125" style="115" customWidth="1"/>
    <col min="8708" max="8708" width="10.75" style="115" customWidth="1"/>
    <col min="8709" max="8709" width="10" style="115" customWidth="1"/>
    <col min="8710" max="8710" width="9.625" style="115" bestFit="1" customWidth="1"/>
    <col min="8711" max="8711" width="10.75" style="115" customWidth="1"/>
    <col min="8712" max="8712" width="12.25" style="115" customWidth="1"/>
    <col min="8713" max="8713" width="11.625" style="115" customWidth="1"/>
    <col min="8714" max="8714" width="9.75" style="115" customWidth="1"/>
    <col min="8715" max="8715" width="9.875" style="115" customWidth="1"/>
    <col min="8716" max="8716" width="12" style="115" customWidth="1"/>
    <col min="8717" max="8717" width="9.875" style="115" customWidth="1"/>
    <col min="8718" max="8719" width="10.375" style="115" customWidth="1"/>
    <col min="8720" max="8720" width="16.25" style="115" customWidth="1"/>
    <col min="8721" max="8721" width="9.875" style="115" bestFit="1" customWidth="1"/>
    <col min="8722" max="8960" width="9" style="115"/>
    <col min="8961" max="8961" width="5" style="115" customWidth="1"/>
    <col min="8962" max="8962" width="40.875" style="115" customWidth="1"/>
    <col min="8963" max="8963" width="10.125" style="115" customWidth="1"/>
    <col min="8964" max="8964" width="10.75" style="115" customWidth="1"/>
    <col min="8965" max="8965" width="10" style="115" customWidth="1"/>
    <col min="8966" max="8966" width="9.625" style="115" bestFit="1" customWidth="1"/>
    <col min="8967" max="8967" width="10.75" style="115" customWidth="1"/>
    <col min="8968" max="8968" width="12.25" style="115" customWidth="1"/>
    <col min="8969" max="8969" width="11.625" style="115" customWidth="1"/>
    <col min="8970" max="8970" width="9.75" style="115" customWidth="1"/>
    <col min="8971" max="8971" width="9.875" style="115" customWidth="1"/>
    <col min="8972" max="8972" width="12" style="115" customWidth="1"/>
    <col min="8973" max="8973" width="9.875" style="115" customWidth="1"/>
    <col min="8974" max="8975" width="10.375" style="115" customWidth="1"/>
    <col min="8976" max="8976" width="16.25" style="115" customWidth="1"/>
    <col min="8977" max="8977" width="9.875" style="115" bestFit="1" customWidth="1"/>
    <col min="8978" max="9216" width="9" style="115"/>
    <col min="9217" max="9217" width="5" style="115" customWidth="1"/>
    <col min="9218" max="9218" width="40.875" style="115" customWidth="1"/>
    <col min="9219" max="9219" width="10.125" style="115" customWidth="1"/>
    <col min="9220" max="9220" width="10.75" style="115" customWidth="1"/>
    <col min="9221" max="9221" width="10" style="115" customWidth="1"/>
    <col min="9222" max="9222" width="9.625" style="115" bestFit="1" customWidth="1"/>
    <col min="9223" max="9223" width="10.75" style="115" customWidth="1"/>
    <col min="9224" max="9224" width="12.25" style="115" customWidth="1"/>
    <col min="9225" max="9225" width="11.625" style="115" customWidth="1"/>
    <col min="9226" max="9226" width="9.75" style="115" customWidth="1"/>
    <col min="9227" max="9227" width="9.875" style="115" customWidth="1"/>
    <col min="9228" max="9228" width="12" style="115" customWidth="1"/>
    <col min="9229" max="9229" width="9.875" style="115" customWidth="1"/>
    <col min="9230" max="9231" width="10.375" style="115" customWidth="1"/>
    <col min="9232" max="9232" width="16.25" style="115" customWidth="1"/>
    <col min="9233" max="9233" width="9.875" style="115" bestFit="1" customWidth="1"/>
    <col min="9234" max="9472" width="9" style="115"/>
    <col min="9473" max="9473" width="5" style="115" customWidth="1"/>
    <col min="9474" max="9474" width="40.875" style="115" customWidth="1"/>
    <col min="9475" max="9475" width="10.125" style="115" customWidth="1"/>
    <col min="9476" max="9476" width="10.75" style="115" customWidth="1"/>
    <col min="9477" max="9477" width="10" style="115" customWidth="1"/>
    <col min="9478" max="9478" width="9.625" style="115" bestFit="1" customWidth="1"/>
    <col min="9479" max="9479" width="10.75" style="115" customWidth="1"/>
    <col min="9480" max="9480" width="12.25" style="115" customWidth="1"/>
    <col min="9481" max="9481" width="11.625" style="115" customWidth="1"/>
    <col min="9482" max="9482" width="9.75" style="115" customWidth="1"/>
    <col min="9483" max="9483" width="9.875" style="115" customWidth="1"/>
    <col min="9484" max="9484" width="12" style="115" customWidth="1"/>
    <col min="9485" max="9485" width="9.875" style="115" customWidth="1"/>
    <col min="9486" max="9487" width="10.375" style="115" customWidth="1"/>
    <col min="9488" max="9488" width="16.25" style="115" customWidth="1"/>
    <col min="9489" max="9489" width="9.875" style="115" bestFit="1" customWidth="1"/>
    <col min="9490" max="9728" width="9" style="115"/>
    <col min="9729" max="9729" width="5" style="115" customWidth="1"/>
    <col min="9730" max="9730" width="40.875" style="115" customWidth="1"/>
    <col min="9731" max="9731" width="10.125" style="115" customWidth="1"/>
    <col min="9732" max="9732" width="10.75" style="115" customWidth="1"/>
    <col min="9733" max="9733" width="10" style="115" customWidth="1"/>
    <col min="9734" max="9734" width="9.625" style="115" bestFit="1" customWidth="1"/>
    <col min="9735" max="9735" width="10.75" style="115" customWidth="1"/>
    <col min="9736" max="9736" width="12.25" style="115" customWidth="1"/>
    <col min="9737" max="9737" width="11.625" style="115" customWidth="1"/>
    <col min="9738" max="9738" width="9.75" style="115" customWidth="1"/>
    <col min="9739" max="9739" width="9.875" style="115" customWidth="1"/>
    <col min="9740" max="9740" width="12" style="115" customWidth="1"/>
    <col min="9741" max="9741" width="9.875" style="115" customWidth="1"/>
    <col min="9742" max="9743" width="10.375" style="115" customWidth="1"/>
    <col min="9744" max="9744" width="16.25" style="115" customWidth="1"/>
    <col min="9745" max="9745" width="9.875" style="115" bestFit="1" customWidth="1"/>
    <col min="9746" max="9984" width="9" style="115"/>
    <col min="9985" max="9985" width="5" style="115" customWidth="1"/>
    <col min="9986" max="9986" width="40.875" style="115" customWidth="1"/>
    <col min="9987" max="9987" width="10.125" style="115" customWidth="1"/>
    <col min="9988" max="9988" width="10.75" style="115" customWidth="1"/>
    <col min="9989" max="9989" width="10" style="115" customWidth="1"/>
    <col min="9990" max="9990" width="9.625" style="115" bestFit="1" customWidth="1"/>
    <col min="9991" max="9991" width="10.75" style="115" customWidth="1"/>
    <col min="9992" max="9992" width="12.25" style="115" customWidth="1"/>
    <col min="9993" max="9993" width="11.625" style="115" customWidth="1"/>
    <col min="9994" max="9994" width="9.75" style="115" customWidth="1"/>
    <col min="9995" max="9995" width="9.875" style="115" customWidth="1"/>
    <col min="9996" max="9996" width="12" style="115" customWidth="1"/>
    <col min="9997" max="9997" width="9.875" style="115" customWidth="1"/>
    <col min="9998" max="9999" width="10.375" style="115" customWidth="1"/>
    <col min="10000" max="10000" width="16.25" style="115" customWidth="1"/>
    <col min="10001" max="10001" width="9.875" style="115" bestFit="1" customWidth="1"/>
    <col min="10002" max="10240" width="9" style="115"/>
    <col min="10241" max="10241" width="5" style="115" customWidth="1"/>
    <col min="10242" max="10242" width="40.875" style="115" customWidth="1"/>
    <col min="10243" max="10243" width="10.125" style="115" customWidth="1"/>
    <col min="10244" max="10244" width="10.75" style="115" customWidth="1"/>
    <col min="10245" max="10245" width="10" style="115" customWidth="1"/>
    <col min="10246" max="10246" width="9.625" style="115" bestFit="1" customWidth="1"/>
    <col min="10247" max="10247" width="10.75" style="115" customWidth="1"/>
    <col min="10248" max="10248" width="12.25" style="115" customWidth="1"/>
    <col min="10249" max="10249" width="11.625" style="115" customWidth="1"/>
    <col min="10250" max="10250" width="9.75" style="115" customWidth="1"/>
    <col min="10251" max="10251" width="9.875" style="115" customWidth="1"/>
    <col min="10252" max="10252" width="12" style="115" customWidth="1"/>
    <col min="10253" max="10253" width="9.875" style="115" customWidth="1"/>
    <col min="10254" max="10255" width="10.375" style="115" customWidth="1"/>
    <col min="10256" max="10256" width="16.25" style="115" customWidth="1"/>
    <col min="10257" max="10257" width="9.875" style="115" bestFit="1" customWidth="1"/>
    <col min="10258" max="10496" width="9" style="115"/>
    <col min="10497" max="10497" width="5" style="115" customWidth="1"/>
    <col min="10498" max="10498" width="40.875" style="115" customWidth="1"/>
    <col min="10499" max="10499" width="10.125" style="115" customWidth="1"/>
    <col min="10500" max="10500" width="10.75" style="115" customWidth="1"/>
    <col min="10501" max="10501" width="10" style="115" customWidth="1"/>
    <col min="10502" max="10502" width="9.625" style="115" bestFit="1" customWidth="1"/>
    <col min="10503" max="10503" width="10.75" style="115" customWidth="1"/>
    <col min="10504" max="10504" width="12.25" style="115" customWidth="1"/>
    <col min="10505" max="10505" width="11.625" style="115" customWidth="1"/>
    <col min="10506" max="10506" width="9.75" style="115" customWidth="1"/>
    <col min="10507" max="10507" width="9.875" style="115" customWidth="1"/>
    <col min="10508" max="10508" width="12" style="115" customWidth="1"/>
    <col min="10509" max="10509" width="9.875" style="115" customWidth="1"/>
    <col min="10510" max="10511" width="10.375" style="115" customWidth="1"/>
    <col min="10512" max="10512" width="16.25" style="115" customWidth="1"/>
    <col min="10513" max="10513" width="9.875" style="115" bestFit="1" customWidth="1"/>
    <col min="10514" max="10752" width="9" style="115"/>
    <col min="10753" max="10753" width="5" style="115" customWidth="1"/>
    <col min="10754" max="10754" width="40.875" style="115" customWidth="1"/>
    <col min="10755" max="10755" width="10.125" style="115" customWidth="1"/>
    <col min="10756" max="10756" width="10.75" style="115" customWidth="1"/>
    <col min="10757" max="10757" width="10" style="115" customWidth="1"/>
    <col min="10758" max="10758" width="9.625" style="115" bestFit="1" customWidth="1"/>
    <col min="10759" max="10759" width="10.75" style="115" customWidth="1"/>
    <col min="10760" max="10760" width="12.25" style="115" customWidth="1"/>
    <col min="10761" max="10761" width="11.625" style="115" customWidth="1"/>
    <col min="10762" max="10762" width="9.75" style="115" customWidth="1"/>
    <col min="10763" max="10763" width="9.875" style="115" customWidth="1"/>
    <col min="10764" max="10764" width="12" style="115" customWidth="1"/>
    <col min="10765" max="10765" width="9.875" style="115" customWidth="1"/>
    <col min="10766" max="10767" width="10.375" style="115" customWidth="1"/>
    <col min="10768" max="10768" width="16.25" style="115" customWidth="1"/>
    <col min="10769" max="10769" width="9.875" style="115" bestFit="1" customWidth="1"/>
    <col min="10770" max="11008" width="9" style="115"/>
    <col min="11009" max="11009" width="5" style="115" customWidth="1"/>
    <col min="11010" max="11010" width="40.875" style="115" customWidth="1"/>
    <col min="11011" max="11011" width="10.125" style="115" customWidth="1"/>
    <col min="11012" max="11012" width="10.75" style="115" customWidth="1"/>
    <col min="11013" max="11013" width="10" style="115" customWidth="1"/>
    <col min="11014" max="11014" width="9.625" style="115" bestFit="1" customWidth="1"/>
    <col min="11015" max="11015" width="10.75" style="115" customWidth="1"/>
    <col min="11016" max="11016" width="12.25" style="115" customWidth="1"/>
    <col min="11017" max="11017" width="11.625" style="115" customWidth="1"/>
    <col min="11018" max="11018" width="9.75" style="115" customWidth="1"/>
    <col min="11019" max="11019" width="9.875" style="115" customWidth="1"/>
    <col min="11020" max="11020" width="12" style="115" customWidth="1"/>
    <col min="11021" max="11021" width="9.875" style="115" customWidth="1"/>
    <col min="11022" max="11023" width="10.375" style="115" customWidth="1"/>
    <col min="11024" max="11024" width="16.25" style="115" customWidth="1"/>
    <col min="11025" max="11025" width="9.875" style="115" bestFit="1" customWidth="1"/>
    <col min="11026" max="11264" width="9" style="115"/>
    <col min="11265" max="11265" width="5" style="115" customWidth="1"/>
    <col min="11266" max="11266" width="40.875" style="115" customWidth="1"/>
    <col min="11267" max="11267" width="10.125" style="115" customWidth="1"/>
    <col min="11268" max="11268" width="10.75" style="115" customWidth="1"/>
    <col min="11269" max="11269" width="10" style="115" customWidth="1"/>
    <col min="11270" max="11270" width="9.625" style="115" bestFit="1" customWidth="1"/>
    <col min="11271" max="11271" width="10.75" style="115" customWidth="1"/>
    <col min="11272" max="11272" width="12.25" style="115" customWidth="1"/>
    <col min="11273" max="11273" width="11.625" style="115" customWidth="1"/>
    <col min="11274" max="11274" width="9.75" style="115" customWidth="1"/>
    <col min="11275" max="11275" width="9.875" style="115" customWidth="1"/>
    <col min="11276" max="11276" width="12" style="115" customWidth="1"/>
    <col min="11277" max="11277" width="9.875" style="115" customWidth="1"/>
    <col min="11278" max="11279" width="10.375" style="115" customWidth="1"/>
    <col min="11280" max="11280" width="16.25" style="115" customWidth="1"/>
    <col min="11281" max="11281" width="9.875" style="115" bestFit="1" customWidth="1"/>
    <col min="11282" max="11520" width="9" style="115"/>
    <col min="11521" max="11521" width="5" style="115" customWidth="1"/>
    <col min="11522" max="11522" width="40.875" style="115" customWidth="1"/>
    <col min="11523" max="11523" width="10.125" style="115" customWidth="1"/>
    <col min="11524" max="11524" width="10.75" style="115" customWidth="1"/>
    <col min="11525" max="11525" width="10" style="115" customWidth="1"/>
    <col min="11526" max="11526" width="9.625" style="115" bestFit="1" customWidth="1"/>
    <col min="11527" max="11527" width="10.75" style="115" customWidth="1"/>
    <col min="11528" max="11528" width="12.25" style="115" customWidth="1"/>
    <col min="11529" max="11529" width="11.625" style="115" customWidth="1"/>
    <col min="11530" max="11530" width="9.75" style="115" customWidth="1"/>
    <col min="11531" max="11531" width="9.875" style="115" customWidth="1"/>
    <col min="11532" max="11532" width="12" style="115" customWidth="1"/>
    <col min="11533" max="11533" width="9.875" style="115" customWidth="1"/>
    <col min="11534" max="11535" width="10.375" style="115" customWidth="1"/>
    <col min="11536" max="11536" width="16.25" style="115" customWidth="1"/>
    <col min="11537" max="11537" width="9.875" style="115" bestFit="1" customWidth="1"/>
    <col min="11538" max="11776" width="9" style="115"/>
    <col min="11777" max="11777" width="5" style="115" customWidth="1"/>
    <col min="11778" max="11778" width="40.875" style="115" customWidth="1"/>
    <col min="11779" max="11779" width="10.125" style="115" customWidth="1"/>
    <col min="11780" max="11780" width="10.75" style="115" customWidth="1"/>
    <col min="11781" max="11781" width="10" style="115" customWidth="1"/>
    <col min="11782" max="11782" width="9.625" style="115" bestFit="1" customWidth="1"/>
    <col min="11783" max="11783" width="10.75" style="115" customWidth="1"/>
    <col min="11784" max="11784" width="12.25" style="115" customWidth="1"/>
    <col min="11785" max="11785" width="11.625" style="115" customWidth="1"/>
    <col min="11786" max="11786" width="9.75" style="115" customWidth="1"/>
    <col min="11787" max="11787" width="9.875" style="115" customWidth="1"/>
    <col min="11788" max="11788" width="12" style="115" customWidth="1"/>
    <col min="11789" max="11789" width="9.875" style="115" customWidth="1"/>
    <col min="11790" max="11791" width="10.375" style="115" customWidth="1"/>
    <col min="11792" max="11792" width="16.25" style="115" customWidth="1"/>
    <col min="11793" max="11793" width="9.875" style="115" bestFit="1" customWidth="1"/>
    <col min="11794" max="12032" width="9" style="115"/>
    <col min="12033" max="12033" width="5" style="115" customWidth="1"/>
    <col min="12034" max="12034" width="40.875" style="115" customWidth="1"/>
    <col min="12035" max="12035" width="10.125" style="115" customWidth="1"/>
    <col min="12036" max="12036" width="10.75" style="115" customWidth="1"/>
    <col min="12037" max="12037" width="10" style="115" customWidth="1"/>
    <col min="12038" max="12038" width="9.625" style="115" bestFit="1" customWidth="1"/>
    <col min="12039" max="12039" width="10.75" style="115" customWidth="1"/>
    <col min="12040" max="12040" width="12.25" style="115" customWidth="1"/>
    <col min="12041" max="12041" width="11.625" style="115" customWidth="1"/>
    <col min="12042" max="12042" width="9.75" style="115" customWidth="1"/>
    <col min="12043" max="12043" width="9.875" style="115" customWidth="1"/>
    <col min="12044" max="12044" width="12" style="115" customWidth="1"/>
    <col min="12045" max="12045" width="9.875" style="115" customWidth="1"/>
    <col min="12046" max="12047" width="10.375" style="115" customWidth="1"/>
    <col min="12048" max="12048" width="16.25" style="115" customWidth="1"/>
    <col min="12049" max="12049" width="9.875" style="115" bestFit="1" customWidth="1"/>
    <col min="12050" max="12288" width="9" style="115"/>
    <col min="12289" max="12289" width="5" style="115" customWidth="1"/>
    <col min="12290" max="12290" width="40.875" style="115" customWidth="1"/>
    <col min="12291" max="12291" width="10.125" style="115" customWidth="1"/>
    <col min="12292" max="12292" width="10.75" style="115" customWidth="1"/>
    <col min="12293" max="12293" width="10" style="115" customWidth="1"/>
    <col min="12294" max="12294" width="9.625" style="115" bestFit="1" customWidth="1"/>
    <col min="12295" max="12295" width="10.75" style="115" customWidth="1"/>
    <col min="12296" max="12296" width="12.25" style="115" customWidth="1"/>
    <col min="12297" max="12297" width="11.625" style="115" customWidth="1"/>
    <col min="12298" max="12298" width="9.75" style="115" customWidth="1"/>
    <col min="12299" max="12299" width="9.875" style="115" customWidth="1"/>
    <col min="12300" max="12300" width="12" style="115" customWidth="1"/>
    <col min="12301" max="12301" width="9.875" style="115" customWidth="1"/>
    <col min="12302" max="12303" width="10.375" style="115" customWidth="1"/>
    <col min="12304" max="12304" width="16.25" style="115" customWidth="1"/>
    <col min="12305" max="12305" width="9.875" style="115" bestFit="1" customWidth="1"/>
    <col min="12306" max="12544" width="9" style="115"/>
    <col min="12545" max="12545" width="5" style="115" customWidth="1"/>
    <col min="12546" max="12546" width="40.875" style="115" customWidth="1"/>
    <col min="12547" max="12547" width="10.125" style="115" customWidth="1"/>
    <col min="12548" max="12548" width="10.75" style="115" customWidth="1"/>
    <col min="12549" max="12549" width="10" style="115" customWidth="1"/>
    <col min="12550" max="12550" width="9.625" style="115" bestFit="1" customWidth="1"/>
    <col min="12551" max="12551" width="10.75" style="115" customWidth="1"/>
    <col min="12552" max="12552" width="12.25" style="115" customWidth="1"/>
    <col min="12553" max="12553" width="11.625" style="115" customWidth="1"/>
    <col min="12554" max="12554" width="9.75" style="115" customWidth="1"/>
    <col min="12555" max="12555" width="9.875" style="115" customWidth="1"/>
    <col min="12556" max="12556" width="12" style="115" customWidth="1"/>
    <col min="12557" max="12557" width="9.875" style="115" customWidth="1"/>
    <col min="12558" max="12559" width="10.375" style="115" customWidth="1"/>
    <col min="12560" max="12560" width="16.25" style="115" customWidth="1"/>
    <col min="12561" max="12561" width="9.875" style="115" bestFit="1" customWidth="1"/>
    <col min="12562" max="12800" width="9" style="115"/>
    <col min="12801" max="12801" width="5" style="115" customWidth="1"/>
    <col min="12802" max="12802" width="40.875" style="115" customWidth="1"/>
    <col min="12803" max="12803" width="10.125" style="115" customWidth="1"/>
    <col min="12804" max="12804" width="10.75" style="115" customWidth="1"/>
    <col min="12805" max="12805" width="10" style="115" customWidth="1"/>
    <col min="12806" max="12806" width="9.625" style="115" bestFit="1" customWidth="1"/>
    <col min="12807" max="12807" width="10.75" style="115" customWidth="1"/>
    <col min="12808" max="12808" width="12.25" style="115" customWidth="1"/>
    <col min="12809" max="12809" width="11.625" style="115" customWidth="1"/>
    <col min="12810" max="12810" width="9.75" style="115" customWidth="1"/>
    <col min="12811" max="12811" width="9.875" style="115" customWidth="1"/>
    <col min="12812" max="12812" width="12" style="115" customWidth="1"/>
    <col min="12813" max="12813" width="9.875" style="115" customWidth="1"/>
    <col min="12814" max="12815" width="10.375" style="115" customWidth="1"/>
    <col min="12816" max="12816" width="16.25" style="115" customWidth="1"/>
    <col min="12817" max="12817" width="9.875" style="115" bestFit="1" customWidth="1"/>
    <col min="12818" max="13056" width="9" style="115"/>
    <col min="13057" max="13057" width="5" style="115" customWidth="1"/>
    <col min="13058" max="13058" width="40.875" style="115" customWidth="1"/>
    <col min="13059" max="13059" width="10.125" style="115" customWidth="1"/>
    <col min="13060" max="13060" width="10.75" style="115" customWidth="1"/>
    <col min="13061" max="13061" width="10" style="115" customWidth="1"/>
    <col min="13062" max="13062" width="9.625" style="115" bestFit="1" customWidth="1"/>
    <col min="13063" max="13063" width="10.75" style="115" customWidth="1"/>
    <col min="13064" max="13064" width="12.25" style="115" customWidth="1"/>
    <col min="13065" max="13065" width="11.625" style="115" customWidth="1"/>
    <col min="13066" max="13066" width="9.75" style="115" customWidth="1"/>
    <col min="13067" max="13067" width="9.875" style="115" customWidth="1"/>
    <col min="13068" max="13068" width="12" style="115" customWidth="1"/>
    <col min="13069" max="13069" width="9.875" style="115" customWidth="1"/>
    <col min="13070" max="13071" width="10.375" style="115" customWidth="1"/>
    <col min="13072" max="13072" width="16.25" style="115" customWidth="1"/>
    <col min="13073" max="13073" width="9.875" style="115" bestFit="1" customWidth="1"/>
    <col min="13074" max="13312" width="9" style="115"/>
    <col min="13313" max="13313" width="5" style="115" customWidth="1"/>
    <col min="13314" max="13314" width="40.875" style="115" customWidth="1"/>
    <col min="13315" max="13315" width="10.125" style="115" customWidth="1"/>
    <col min="13316" max="13316" width="10.75" style="115" customWidth="1"/>
    <col min="13317" max="13317" width="10" style="115" customWidth="1"/>
    <col min="13318" max="13318" width="9.625" style="115" bestFit="1" customWidth="1"/>
    <col min="13319" max="13319" width="10.75" style="115" customWidth="1"/>
    <col min="13320" max="13320" width="12.25" style="115" customWidth="1"/>
    <col min="13321" max="13321" width="11.625" style="115" customWidth="1"/>
    <col min="13322" max="13322" width="9.75" style="115" customWidth="1"/>
    <col min="13323" max="13323" width="9.875" style="115" customWidth="1"/>
    <col min="13324" max="13324" width="12" style="115" customWidth="1"/>
    <col min="13325" max="13325" width="9.875" style="115" customWidth="1"/>
    <col min="13326" max="13327" width="10.375" style="115" customWidth="1"/>
    <col min="13328" max="13328" width="16.25" style="115" customWidth="1"/>
    <col min="13329" max="13329" width="9.875" style="115" bestFit="1" customWidth="1"/>
    <col min="13330" max="13568" width="9" style="115"/>
    <col min="13569" max="13569" width="5" style="115" customWidth="1"/>
    <col min="13570" max="13570" width="40.875" style="115" customWidth="1"/>
    <col min="13571" max="13571" width="10.125" style="115" customWidth="1"/>
    <col min="13572" max="13572" width="10.75" style="115" customWidth="1"/>
    <col min="13573" max="13573" width="10" style="115" customWidth="1"/>
    <col min="13574" max="13574" width="9.625" style="115" bestFit="1" customWidth="1"/>
    <col min="13575" max="13575" width="10.75" style="115" customWidth="1"/>
    <col min="13576" max="13576" width="12.25" style="115" customWidth="1"/>
    <col min="13577" max="13577" width="11.625" style="115" customWidth="1"/>
    <col min="13578" max="13578" width="9.75" style="115" customWidth="1"/>
    <col min="13579" max="13579" width="9.875" style="115" customWidth="1"/>
    <col min="13580" max="13580" width="12" style="115" customWidth="1"/>
    <col min="13581" max="13581" width="9.875" style="115" customWidth="1"/>
    <col min="13582" max="13583" width="10.375" style="115" customWidth="1"/>
    <col min="13584" max="13584" width="16.25" style="115" customWidth="1"/>
    <col min="13585" max="13585" width="9.875" style="115" bestFit="1" customWidth="1"/>
    <col min="13586" max="13824" width="9" style="115"/>
    <col min="13825" max="13825" width="5" style="115" customWidth="1"/>
    <col min="13826" max="13826" width="40.875" style="115" customWidth="1"/>
    <col min="13827" max="13827" width="10.125" style="115" customWidth="1"/>
    <col min="13828" max="13828" width="10.75" style="115" customWidth="1"/>
    <col min="13829" max="13829" width="10" style="115" customWidth="1"/>
    <col min="13830" max="13830" width="9.625" style="115" bestFit="1" customWidth="1"/>
    <col min="13831" max="13831" width="10.75" style="115" customWidth="1"/>
    <col min="13832" max="13832" width="12.25" style="115" customWidth="1"/>
    <col min="13833" max="13833" width="11.625" style="115" customWidth="1"/>
    <col min="13834" max="13834" width="9.75" style="115" customWidth="1"/>
    <col min="13835" max="13835" width="9.875" style="115" customWidth="1"/>
    <col min="13836" max="13836" width="12" style="115" customWidth="1"/>
    <col min="13837" max="13837" width="9.875" style="115" customWidth="1"/>
    <col min="13838" max="13839" width="10.375" style="115" customWidth="1"/>
    <col min="13840" max="13840" width="16.25" style="115" customWidth="1"/>
    <col min="13841" max="13841" width="9.875" style="115" bestFit="1" customWidth="1"/>
    <col min="13842" max="14080" width="9" style="115"/>
    <col min="14081" max="14081" width="5" style="115" customWidth="1"/>
    <col min="14082" max="14082" width="40.875" style="115" customWidth="1"/>
    <col min="14083" max="14083" width="10.125" style="115" customWidth="1"/>
    <col min="14084" max="14084" width="10.75" style="115" customWidth="1"/>
    <col min="14085" max="14085" width="10" style="115" customWidth="1"/>
    <col min="14086" max="14086" width="9.625" style="115" bestFit="1" customWidth="1"/>
    <col min="14087" max="14087" width="10.75" style="115" customWidth="1"/>
    <col min="14088" max="14088" width="12.25" style="115" customWidth="1"/>
    <col min="14089" max="14089" width="11.625" style="115" customWidth="1"/>
    <col min="14090" max="14090" width="9.75" style="115" customWidth="1"/>
    <col min="14091" max="14091" width="9.875" style="115" customWidth="1"/>
    <col min="14092" max="14092" width="12" style="115" customWidth="1"/>
    <col min="14093" max="14093" width="9.875" style="115" customWidth="1"/>
    <col min="14094" max="14095" width="10.375" style="115" customWidth="1"/>
    <col min="14096" max="14096" width="16.25" style="115" customWidth="1"/>
    <col min="14097" max="14097" width="9.875" style="115" bestFit="1" customWidth="1"/>
    <col min="14098" max="14336" width="9" style="115"/>
    <col min="14337" max="14337" width="5" style="115" customWidth="1"/>
    <col min="14338" max="14338" width="40.875" style="115" customWidth="1"/>
    <col min="14339" max="14339" width="10.125" style="115" customWidth="1"/>
    <col min="14340" max="14340" width="10.75" style="115" customWidth="1"/>
    <col min="14341" max="14341" width="10" style="115" customWidth="1"/>
    <col min="14342" max="14342" width="9.625" style="115" bestFit="1" customWidth="1"/>
    <col min="14343" max="14343" width="10.75" style="115" customWidth="1"/>
    <col min="14344" max="14344" width="12.25" style="115" customWidth="1"/>
    <col min="14345" max="14345" width="11.625" style="115" customWidth="1"/>
    <col min="14346" max="14346" width="9.75" style="115" customWidth="1"/>
    <col min="14347" max="14347" width="9.875" style="115" customWidth="1"/>
    <col min="14348" max="14348" width="12" style="115" customWidth="1"/>
    <col min="14349" max="14349" width="9.875" style="115" customWidth="1"/>
    <col min="14350" max="14351" width="10.375" style="115" customWidth="1"/>
    <col min="14352" max="14352" width="16.25" style="115" customWidth="1"/>
    <col min="14353" max="14353" width="9.875" style="115" bestFit="1" customWidth="1"/>
    <col min="14354" max="14592" width="9" style="115"/>
    <col min="14593" max="14593" width="5" style="115" customWidth="1"/>
    <col min="14594" max="14594" width="40.875" style="115" customWidth="1"/>
    <col min="14595" max="14595" width="10.125" style="115" customWidth="1"/>
    <col min="14596" max="14596" width="10.75" style="115" customWidth="1"/>
    <col min="14597" max="14597" width="10" style="115" customWidth="1"/>
    <col min="14598" max="14598" width="9.625" style="115" bestFit="1" customWidth="1"/>
    <col min="14599" max="14599" width="10.75" style="115" customWidth="1"/>
    <col min="14600" max="14600" width="12.25" style="115" customWidth="1"/>
    <col min="14601" max="14601" width="11.625" style="115" customWidth="1"/>
    <col min="14602" max="14602" width="9.75" style="115" customWidth="1"/>
    <col min="14603" max="14603" width="9.875" style="115" customWidth="1"/>
    <col min="14604" max="14604" width="12" style="115" customWidth="1"/>
    <col min="14605" max="14605" width="9.875" style="115" customWidth="1"/>
    <col min="14606" max="14607" width="10.375" style="115" customWidth="1"/>
    <col min="14608" max="14608" width="16.25" style="115" customWidth="1"/>
    <col min="14609" max="14609" width="9.875" style="115" bestFit="1" customWidth="1"/>
    <col min="14610" max="14848" width="9" style="115"/>
    <col min="14849" max="14849" width="5" style="115" customWidth="1"/>
    <col min="14850" max="14850" width="40.875" style="115" customWidth="1"/>
    <col min="14851" max="14851" width="10.125" style="115" customWidth="1"/>
    <col min="14852" max="14852" width="10.75" style="115" customWidth="1"/>
    <col min="14853" max="14853" width="10" style="115" customWidth="1"/>
    <col min="14854" max="14854" width="9.625" style="115" bestFit="1" customWidth="1"/>
    <col min="14855" max="14855" width="10.75" style="115" customWidth="1"/>
    <col min="14856" max="14856" width="12.25" style="115" customWidth="1"/>
    <col min="14857" max="14857" width="11.625" style="115" customWidth="1"/>
    <col min="14858" max="14858" width="9.75" style="115" customWidth="1"/>
    <col min="14859" max="14859" width="9.875" style="115" customWidth="1"/>
    <col min="14860" max="14860" width="12" style="115" customWidth="1"/>
    <col min="14861" max="14861" width="9.875" style="115" customWidth="1"/>
    <col min="14862" max="14863" width="10.375" style="115" customWidth="1"/>
    <col min="14864" max="14864" width="16.25" style="115" customWidth="1"/>
    <col min="14865" max="14865" width="9.875" style="115" bestFit="1" customWidth="1"/>
    <col min="14866" max="15104" width="9" style="115"/>
    <col min="15105" max="15105" width="5" style="115" customWidth="1"/>
    <col min="15106" max="15106" width="40.875" style="115" customWidth="1"/>
    <col min="15107" max="15107" width="10.125" style="115" customWidth="1"/>
    <col min="15108" max="15108" width="10.75" style="115" customWidth="1"/>
    <col min="15109" max="15109" width="10" style="115" customWidth="1"/>
    <col min="15110" max="15110" width="9.625" style="115" bestFit="1" customWidth="1"/>
    <col min="15111" max="15111" width="10.75" style="115" customWidth="1"/>
    <col min="15112" max="15112" width="12.25" style="115" customWidth="1"/>
    <col min="15113" max="15113" width="11.625" style="115" customWidth="1"/>
    <col min="15114" max="15114" width="9.75" style="115" customWidth="1"/>
    <col min="15115" max="15115" width="9.875" style="115" customWidth="1"/>
    <col min="15116" max="15116" width="12" style="115" customWidth="1"/>
    <col min="15117" max="15117" width="9.875" style="115" customWidth="1"/>
    <col min="15118" max="15119" width="10.375" style="115" customWidth="1"/>
    <col min="15120" max="15120" width="16.25" style="115" customWidth="1"/>
    <col min="15121" max="15121" width="9.875" style="115" bestFit="1" customWidth="1"/>
    <col min="15122" max="15360" width="9" style="115"/>
    <col min="15361" max="15361" width="5" style="115" customWidth="1"/>
    <col min="15362" max="15362" width="40.875" style="115" customWidth="1"/>
    <col min="15363" max="15363" width="10.125" style="115" customWidth="1"/>
    <col min="15364" max="15364" width="10.75" style="115" customWidth="1"/>
    <col min="15365" max="15365" width="10" style="115" customWidth="1"/>
    <col min="15366" max="15366" width="9.625" style="115" bestFit="1" customWidth="1"/>
    <col min="15367" max="15367" width="10.75" style="115" customWidth="1"/>
    <col min="15368" max="15368" width="12.25" style="115" customWidth="1"/>
    <col min="15369" max="15369" width="11.625" style="115" customWidth="1"/>
    <col min="15370" max="15370" width="9.75" style="115" customWidth="1"/>
    <col min="15371" max="15371" width="9.875" style="115" customWidth="1"/>
    <col min="15372" max="15372" width="12" style="115" customWidth="1"/>
    <col min="15373" max="15373" width="9.875" style="115" customWidth="1"/>
    <col min="15374" max="15375" width="10.375" style="115" customWidth="1"/>
    <col min="15376" max="15376" width="16.25" style="115" customWidth="1"/>
    <col min="15377" max="15377" width="9.875" style="115" bestFit="1" customWidth="1"/>
    <col min="15378" max="15616" width="9" style="115"/>
    <col min="15617" max="15617" width="5" style="115" customWidth="1"/>
    <col min="15618" max="15618" width="40.875" style="115" customWidth="1"/>
    <col min="15619" max="15619" width="10.125" style="115" customWidth="1"/>
    <col min="15620" max="15620" width="10.75" style="115" customWidth="1"/>
    <col min="15621" max="15621" width="10" style="115" customWidth="1"/>
    <col min="15622" max="15622" width="9.625" style="115" bestFit="1" customWidth="1"/>
    <col min="15623" max="15623" width="10.75" style="115" customWidth="1"/>
    <col min="15624" max="15624" width="12.25" style="115" customWidth="1"/>
    <col min="15625" max="15625" width="11.625" style="115" customWidth="1"/>
    <col min="15626" max="15626" width="9.75" style="115" customWidth="1"/>
    <col min="15627" max="15627" width="9.875" style="115" customWidth="1"/>
    <col min="15628" max="15628" width="12" style="115" customWidth="1"/>
    <col min="15629" max="15629" width="9.875" style="115" customWidth="1"/>
    <col min="15630" max="15631" width="10.375" style="115" customWidth="1"/>
    <col min="15632" max="15632" width="16.25" style="115" customWidth="1"/>
    <col min="15633" max="15633" width="9.875" style="115" bestFit="1" customWidth="1"/>
    <col min="15634" max="15872" width="9" style="115"/>
    <col min="15873" max="15873" width="5" style="115" customWidth="1"/>
    <col min="15874" max="15874" width="40.875" style="115" customWidth="1"/>
    <col min="15875" max="15875" width="10.125" style="115" customWidth="1"/>
    <col min="15876" max="15876" width="10.75" style="115" customWidth="1"/>
    <col min="15877" max="15877" width="10" style="115" customWidth="1"/>
    <col min="15878" max="15878" width="9.625" style="115" bestFit="1" customWidth="1"/>
    <col min="15879" max="15879" width="10.75" style="115" customWidth="1"/>
    <col min="15880" max="15880" width="12.25" style="115" customWidth="1"/>
    <col min="15881" max="15881" width="11.625" style="115" customWidth="1"/>
    <col min="15882" max="15882" width="9.75" style="115" customWidth="1"/>
    <col min="15883" max="15883" width="9.875" style="115" customWidth="1"/>
    <col min="15884" max="15884" width="12" style="115" customWidth="1"/>
    <col min="15885" max="15885" width="9.875" style="115" customWidth="1"/>
    <col min="15886" max="15887" width="10.375" style="115" customWidth="1"/>
    <col min="15888" max="15888" width="16.25" style="115" customWidth="1"/>
    <col min="15889" max="15889" width="9.875" style="115" bestFit="1" customWidth="1"/>
    <col min="15890" max="16128" width="9" style="115"/>
    <col min="16129" max="16129" width="5" style="115" customWidth="1"/>
    <col min="16130" max="16130" width="40.875" style="115" customWidth="1"/>
    <col min="16131" max="16131" width="10.125" style="115" customWidth="1"/>
    <col min="16132" max="16132" width="10.75" style="115" customWidth="1"/>
    <col min="16133" max="16133" width="10" style="115" customWidth="1"/>
    <col min="16134" max="16134" width="9.625" style="115" bestFit="1" customWidth="1"/>
    <col min="16135" max="16135" width="10.75" style="115" customWidth="1"/>
    <col min="16136" max="16136" width="12.25" style="115" customWidth="1"/>
    <col min="16137" max="16137" width="11.625" style="115" customWidth="1"/>
    <col min="16138" max="16138" width="9.75" style="115" customWidth="1"/>
    <col min="16139" max="16139" width="9.875" style="115" customWidth="1"/>
    <col min="16140" max="16140" width="12" style="115" customWidth="1"/>
    <col min="16141" max="16141" width="9.875" style="115" customWidth="1"/>
    <col min="16142" max="16143" width="10.375" style="115" customWidth="1"/>
    <col min="16144" max="16144" width="16.25" style="115" customWidth="1"/>
    <col min="16145" max="16145" width="9.875" style="115" bestFit="1" customWidth="1"/>
    <col min="16146" max="16384" width="9" style="115"/>
  </cols>
  <sheetData>
    <row r="1" spans="1:16" x14ac:dyDescent="0.25">
      <c r="A1" s="976" t="s">
        <v>647</v>
      </c>
      <c r="B1" s="976"/>
      <c r="C1" s="976"/>
      <c r="D1" s="976"/>
      <c r="E1" s="976"/>
      <c r="F1" s="976"/>
      <c r="G1" s="976"/>
      <c r="H1" s="976"/>
      <c r="I1" s="976"/>
      <c r="J1" s="976"/>
      <c r="K1" s="976"/>
      <c r="L1" s="976"/>
      <c r="M1" s="976"/>
      <c r="N1" s="976"/>
      <c r="O1" s="976"/>
      <c r="P1" s="976"/>
    </row>
    <row r="2" spans="1:16" x14ac:dyDescent="0.25">
      <c r="A2" s="536"/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</row>
    <row r="3" spans="1:16" ht="16.5" thickBot="1" x14ac:dyDescent="0.3"/>
    <row r="4" spans="1:16" s="121" customFormat="1" ht="77.25" thickBot="1" x14ac:dyDescent="0.3">
      <c r="A4" s="116"/>
      <c r="B4" s="117" t="s">
        <v>184</v>
      </c>
      <c r="C4" s="118" t="s">
        <v>31</v>
      </c>
      <c r="D4" s="118" t="s">
        <v>32</v>
      </c>
      <c r="E4" s="118" t="s">
        <v>33</v>
      </c>
      <c r="F4" s="119" t="s">
        <v>34</v>
      </c>
      <c r="G4" s="119" t="s">
        <v>341</v>
      </c>
      <c r="H4" s="118" t="s">
        <v>641</v>
      </c>
      <c r="I4" s="120" t="s">
        <v>76</v>
      </c>
      <c r="J4" s="120" t="s">
        <v>85</v>
      </c>
      <c r="K4" s="119" t="s">
        <v>342</v>
      </c>
      <c r="L4" s="118" t="s">
        <v>642</v>
      </c>
      <c r="M4" s="120" t="s">
        <v>107</v>
      </c>
      <c r="N4" s="119" t="s">
        <v>101</v>
      </c>
      <c r="O4" s="118" t="s">
        <v>50</v>
      </c>
      <c r="P4" s="118" t="s">
        <v>332</v>
      </c>
    </row>
    <row r="5" spans="1:16" s="121" customFormat="1" ht="16.5" thickBot="1" x14ac:dyDescent="0.3">
      <c r="A5" s="116"/>
      <c r="B5" s="117"/>
      <c r="C5" s="118" t="s">
        <v>202</v>
      </c>
      <c r="D5" s="118" t="s">
        <v>203</v>
      </c>
      <c r="E5" s="118" t="s">
        <v>204</v>
      </c>
      <c r="F5" s="119" t="s">
        <v>205</v>
      </c>
      <c r="G5" s="119" t="s">
        <v>333</v>
      </c>
      <c r="H5" s="118" t="s">
        <v>346</v>
      </c>
      <c r="I5" s="120" t="s">
        <v>206</v>
      </c>
      <c r="J5" s="120" t="s">
        <v>207</v>
      </c>
      <c r="K5" s="119" t="s">
        <v>208</v>
      </c>
      <c r="L5" s="118" t="s">
        <v>347</v>
      </c>
      <c r="M5" s="325"/>
      <c r="N5" s="119"/>
      <c r="O5" s="118" t="s">
        <v>344</v>
      </c>
      <c r="P5" s="118" t="s">
        <v>345</v>
      </c>
    </row>
    <row r="6" spans="1:16" s="124" customFormat="1" ht="16.5" thickBot="1" x14ac:dyDescent="0.3">
      <c r="A6" s="122"/>
      <c r="B6" s="122" t="s">
        <v>185</v>
      </c>
      <c r="C6" s="122" t="s">
        <v>186</v>
      </c>
      <c r="D6" s="122" t="s">
        <v>187</v>
      </c>
      <c r="E6" s="122" t="s">
        <v>188</v>
      </c>
      <c r="F6" s="123" t="s">
        <v>189</v>
      </c>
      <c r="G6" s="123" t="s">
        <v>190</v>
      </c>
      <c r="H6" s="122" t="s">
        <v>35</v>
      </c>
      <c r="I6" s="331" t="s">
        <v>36</v>
      </c>
      <c r="J6" s="122" t="s">
        <v>37</v>
      </c>
      <c r="K6" s="123" t="s">
        <v>38</v>
      </c>
      <c r="L6" s="122" t="s">
        <v>39</v>
      </c>
      <c r="M6" s="332" t="s">
        <v>40</v>
      </c>
      <c r="N6" s="123" t="s">
        <v>41</v>
      </c>
      <c r="O6" s="122" t="s">
        <v>339</v>
      </c>
      <c r="P6" s="122" t="s">
        <v>350</v>
      </c>
    </row>
    <row r="7" spans="1:16" s="128" customFormat="1" x14ac:dyDescent="0.25">
      <c r="A7" s="125"/>
      <c r="B7" s="126"/>
      <c r="C7" s="127"/>
      <c r="D7" s="127"/>
      <c r="E7" s="127"/>
      <c r="F7" s="127"/>
      <c r="G7" s="131"/>
      <c r="H7" s="130"/>
      <c r="I7" s="127"/>
      <c r="J7" s="127"/>
      <c r="K7" s="131"/>
      <c r="L7" s="130"/>
      <c r="M7" s="127"/>
      <c r="N7" s="131"/>
      <c r="O7" s="326"/>
      <c r="P7" s="130"/>
    </row>
    <row r="8" spans="1:16" s="516" customFormat="1" x14ac:dyDescent="0.25">
      <c r="A8" s="510"/>
      <c r="B8" s="511" t="s">
        <v>643</v>
      </c>
      <c r="C8" s="512">
        <v>227871</v>
      </c>
      <c r="D8" s="512">
        <v>74004</v>
      </c>
      <c r="E8" s="512">
        <v>5531780</v>
      </c>
      <c r="F8" s="513">
        <v>60881</v>
      </c>
      <c r="G8" s="514">
        <v>5977896</v>
      </c>
      <c r="H8" s="515">
        <f>SUM(C8:G8)</f>
        <v>11872432</v>
      </c>
      <c r="I8" s="512">
        <v>18487991</v>
      </c>
      <c r="J8" s="512">
        <v>1452173</v>
      </c>
      <c r="K8" s="514">
        <v>331725</v>
      </c>
      <c r="L8" s="515">
        <f>SUM(I8:K8)</f>
        <v>20271889</v>
      </c>
      <c r="M8" s="512">
        <v>250000</v>
      </c>
      <c r="N8" s="514">
        <v>4523184</v>
      </c>
      <c r="O8" s="515">
        <f>SUM(M8:N8)</f>
        <v>4773184</v>
      </c>
      <c r="P8" s="515">
        <f>SUM(O8+L8+H8)</f>
        <v>36917505</v>
      </c>
    </row>
    <row r="9" spans="1:16" x14ac:dyDescent="0.25">
      <c r="A9" s="125"/>
      <c r="B9" s="511" t="s">
        <v>836</v>
      </c>
      <c r="C9" s="512">
        <v>227271</v>
      </c>
      <c r="D9" s="783">
        <v>73858</v>
      </c>
      <c r="E9" s="783">
        <v>5531100</v>
      </c>
      <c r="F9" s="783">
        <v>60881</v>
      </c>
      <c r="G9" s="514">
        <v>5982476</v>
      </c>
      <c r="H9" s="515">
        <f>SUM(C9:G9)</f>
        <v>11875586</v>
      </c>
      <c r="I9" s="512">
        <v>18616769</v>
      </c>
      <c r="J9" s="512">
        <v>1447753</v>
      </c>
      <c r="K9" s="784">
        <v>334225</v>
      </c>
      <c r="L9" s="515">
        <f>SUM(I9:K9)</f>
        <v>20398747</v>
      </c>
      <c r="M9" s="512">
        <v>224822</v>
      </c>
      <c r="N9" s="784">
        <v>4417471</v>
      </c>
      <c r="O9" s="515">
        <f t="shared" ref="O9:O10" si="0">SUM(M9:N9)</f>
        <v>4642293</v>
      </c>
      <c r="P9" s="515">
        <f>SUM(O9+L9+H9)</f>
        <v>36916626</v>
      </c>
    </row>
    <row r="10" spans="1:16" x14ac:dyDescent="0.25">
      <c r="A10" s="125"/>
      <c r="B10" s="511" t="s">
        <v>945</v>
      </c>
      <c r="C10" s="512">
        <v>223534</v>
      </c>
      <c r="D10" s="783">
        <v>74489</v>
      </c>
      <c r="E10" s="783">
        <v>5713434</v>
      </c>
      <c r="F10" s="783">
        <v>60875</v>
      </c>
      <c r="G10" s="514">
        <v>6371682</v>
      </c>
      <c r="H10" s="515">
        <f>SUM(C10:G10)</f>
        <v>12444014</v>
      </c>
      <c r="I10" s="512">
        <v>18735663</v>
      </c>
      <c r="J10" s="512">
        <v>1610858</v>
      </c>
      <c r="K10" s="784">
        <v>361905</v>
      </c>
      <c r="L10" s="515">
        <f>SUM(I10:K10)</f>
        <v>20708426</v>
      </c>
      <c r="M10" s="512">
        <v>22317</v>
      </c>
      <c r="N10" s="784">
        <v>6551787</v>
      </c>
      <c r="O10" s="515">
        <f t="shared" si="0"/>
        <v>6574104</v>
      </c>
      <c r="P10" s="515">
        <f>SUM(O10+L10+H10)</f>
        <v>39726544</v>
      </c>
    </row>
    <row r="11" spans="1:16" x14ac:dyDescent="0.25">
      <c r="A11" s="125"/>
      <c r="B11" s="758"/>
      <c r="C11" s="512"/>
      <c r="D11" s="512"/>
      <c r="E11" s="512"/>
      <c r="F11" s="512"/>
      <c r="G11" s="514"/>
      <c r="H11" s="515"/>
      <c r="I11" s="512"/>
      <c r="J11" s="512"/>
      <c r="K11" s="514"/>
      <c r="L11" s="515"/>
      <c r="M11" s="512"/>
      <c r="N11" s="514"/>
      <c r="O11" s="515"/>
      <c r="P11" s="515"/>
    </row>
    <row r="12" spans="1:16" x14ac:dyDescent="0.25">
      <c r="A12" s="125" t="s">
        <v>818</v>
      </c>
      <c r="B12" s="153" t="s">
        <v>819</v>
      </c>
      <c r="C12" s="132"/>
      <c r="D12" s="132"/>
      <c r="E12" s="132"/>
      <c r="F12" s="132"/>
      <c r="G12" s="517"/>
      <c r="H12" s="130"/>
      <c r="I12" s="132"/>
      <c r="J12" s="132"/>
      <c r="K12" s="517"/>
      <c r="L12" s="135"/>
      <c r="M12" s="132"/>
      <c r="N12" s="517"/>
      <c r="O12" s="327"/>
      <c r="P12" s="130"/>
    </row>
    <row r="13" spans="1:16" s="521" customFormat="1" x14ac:dyDescent="0.25">
      <c r="A13" s="526"/>
      <c r="B13" s="153" t="s">
        <v>110</v>
      </c>
      <c r="C13" s="518"/>
      <c r="D13" s="518"/>
      <c r="E13" s="518"/>
      <c r="F13" s="518"/>
      <c r="G13" s="787"/>
      <c r="H13" s="530"/>
      <c r="I13" s="518"/>
      <c r="J13" s="518"/>
      <c r="K13" s="787"/>
      <c r="L13" s="520"/>
      <c r="M13" s="518"/>
      <c r="N13" s="787"/>
      <c r="O13" s="530"/>
      <c r="P13" s="530"/>
    </row>
    <row r="14" spans="1:16" s="521" customFormat="1" x14ac:dyDescent="0.25">
      <c r="A14" s="526"/>
      <c r="B14" s="758" t="s">
        <v>111</v>
      </c>
      <c r="C14" s="518"/>
      <c r="D14" s="518"/>
      <c r="E14" s="518"/>
      <c r="F14" s="518"/>
      <c r="G14" s="787"/>
      <c r="H14" s="530"/>
      <c r="I14" s="518"/>
      <c r="J14" s="518"/>
      <c r="K14" s="787"/>
      <c r="L14" s="520"/>
      <c r="M14" s="518"/>
      <c r="N14" s="787"/>
      <c r="O14" s="530"/>
      <c r="P14" s="530"/>
    </row>
    <row r="15" spans="1:16" s="521" customFormat="1" x14ac:dyDescent="0.25">
      <c r="A15" s="526"/>
      <c r="B15" s="759" t="s">
        <v>729</v>
      </c>
      <c r="C15" s="518"/>
      <c r="D15" s="518"/>
      <c r="E15" s="518"/>
      <c r="F15" s="518"/>
      <c r="G15" s="787"/>
      <c r="H15" s="530"/>
      <c r="I15" s="518"/>
      <c r="J15" s="518"/>
      <c r="K15" s="787"/>
      <c r="L15" s="520"/>
      <c r="M15" s="518"/>
      <c r="N15" s="787"/>
      <c r="O15" s="530"/>
      <c r="P15" s="530"/>
    </row>
    <row r="16" spans="1:16" s="794" customFormat="1" ht="31.5" x14ac:dyDescent="0.25">
      <c r="A16" s="790"/>
      <c r="B16" s="532" t="s">
        <v>847</v>
      </c>
      <c r="C16" s="791"/>
      <c r="D16" s="791"/>
      <c r="E16" s="791">
        <v>-52580</v>
      </c>
      <c r="F16" s="791"/>
      <c r="G16" s="792">
        <v>52580</v>
      </c>
      <c r="H16" s="752">
        <f>SUM(C16:G16)</f>
        <v>0</v>
      </c>
      <c r="I16" s="791"/>
      <c r="J16" s="791"/>
      <c r="K16" s="792"/>
      <c r="L16" s="754">
        <f>SUM(I16:K16)</f>
        <v>0</v>
      </c>
      <c r="M16" s="791"/>
      <c r="N16" s="792"/>
      <c r="O16" s="793"/>
      <c r="P16" s="752">
        <f>O16+L16+H16</f>
        <v>0</v>
      </c>
    </row>
    <row r="17" spans="1:16" s="794" customFormat="1" ht="31.5" x14ac:dyDescent="0.25">
      <c r="A17" s="790"/>
      <c r="B17" s="532" t="s">
        <v>1039</v>
      </c>
      <c r="C17" s="791"/>
      <c r="D17" s="791"/>
      <c r="E17" s="791">
        <v>-4282</v>
      </c>
      <c r="F17" s="791"/>
      <c r="G17" s="792">
        <v>4282</v>
      </c>
      <c r="H17" s="752">
        <f>SUM(C17:G17)</f>
        <v>0</v>
      </c>
      <c r="I17" s="791"/>
      <c r="J17" s="791"/>
      <c r="K17" s="792"/>
      <c r="L17" s="754">
        <f>SUM(I17:K17)</f>
        <v>0</v>
      </c>
      <c r="M17" s="791"/>
      <c r="N17" s="792"/>
      <c r="O17" s="793"/>
      <c r="P17" s="752">
        <f>O17+L17+H17</f>
        <v>0</v>
      </c>
    </row>
    <row r="18" spans="1:16" s="521" customFormat="1" x14ac:dyDescent="0.25">
      <c r="A18" s="526"/>
      <c r="B18" s="533"/>
      <c r="C18" s="518"/>
      <c r="D18" s="518"/>
      <c r="E18" s="518"/>
      <c r="F18" s="518"/>
      <c r="G18" s="787"/>
      <c r="H18" s="130"/>
      <c r="I18" s="132"/>
      <c r="J18" s="132"/>
      <c r="K18" s="517"/>
      <c r="L18" s="135"/>
      <c r="M18" s="132"/>
      <c r="N18" s="517"/>
      <c r="O18" s="327"/>
      <c r="P18" s="130"/>
    </row>
    <row r="19" spans="1:16" ht="31.5" x14ac:dyDescent="0.25">
      <c r="A19" s="125"/>
      <c r="B19" s="153" t="s">
        <v>112</v>
      </c>
      <c r="C19" s="132"/>
      <c r="D19" s="132"/>
      <c r="E19" s="132"/>
      <c r="F19" s="132"/>
      <c r="G19" s="517"/>
      <c r="H19" s="130"/>
      <c r="I19" s="132"/>
      <c r="J19" s="132"/>
      <c r="K19" s="517"/>
      <c r="L19" s="135"/>
      <c r="M19" s="132"/>
      <c r="N19" s="517"/>
      <c r="O19" s="327"/>
      <c r="P19" s="130"/>
    </row>
    <row r="20" spans="1:16" x14ac:dyDescent="0.25">
      <c r="A20" s="125"/>
      <c r="B20" s="758" t="s">
        <v>113</v>
      </c>
      <c r="C20" s="132"/>
      <c r="D20" s="132"/>
      <c r="E20" s="132"/>
      <c r="F20" s="132"/>
      <c r="G20" s="517"/>
      <c r="H20" s="130"/>
      <c r="I20" s="132"/>
      <c r="J20" s="132"/>
      <c r="K20" s="517"/>
      <c r="L20" s="135"/>
      <c r="M20" s="132"/>
      <c r="N20" s="517"/>
      <c r="O20" s="327"/>
      <c r="P20" s="130"/>
    </row>
    <row r="21" spans="1:16" x14ac:dyDescent="0.25">
      <c r="A21" s="125"/>
      <c r="B21" s="759" t="s">
        <v>822</v>
      </c>
      <c r="C21" s="132"/>
      <c r="D21" s="132"/>
      <c r="E21" s="132"/>
      <c r="F21" s="132"/>
      <c r="G21" s="517"/>
      <c r="H21" s="130"/>
      <c r="I21" s="132"/>
      <c r="J21" s="132"/>
      <c r="K21" s="517"/>
      <c r="L21" s="135"/>
      <c r="M21" s="132"/>
      <c r="N21" s="517"/>
      <c r="O21" s="327"/>
      <c r="P21" s="130"/>
    </row>
    <row r="22" spans="1:16" ht="31.5" x14ac:dyDescent="0.25">
      <c r="A22" s="125"/>
      <c r="B22" s="533" t="s">
        <v>1198</v>
      </c>
      <c r="C22" s="132">
        <v>16528</v>
      </c>
      <c r="D22" s="132">
        <v>4462</v>
      </c>
      <c r="E22" s="918">
        <v>35772</v>
      </c>
      <c r="F22" s="132"/>
      <c r="G22" s="517"/>
      <c r="H22" s="130">
        <f>SUM(C22:G22)</f>
        <v>56762</v>
      </c>
      <c r="I22" s="132">
        <v>2229</v>
      </c>
      <c r="J22" s="132"/>
      <c r="K22" s="517"/>
      <c r="L22" s="135">
        <f>SUM(I22:K22)</f>
        <v>2229</v>
      </c>
      <c r="M22" s="132"/>
      <c r="N22" s="517"/>
      <c r="O22" s="327"/>
      <c r="P22" s="130">
        <f>O22+L22+H22</f>
        <v>58991</v>
      </c>
    </row>
    <row r="23" spans="1:16" x14ac:dyDescent="0.25">
      <c r="A23" s="125"/>
      <c r="B23" s="758"/>
      <c r="C23" s="132"/>
      <c r="D23" s="132"/>
      <c r="E23" s="132"/>
      <c r="F23" s="132"/>
      <c r="G23" s="517"/>
      <c r="H23" s="130"/>
      <c r="I23" s="132"/>
      <c r="J23" s="132"/>
      <c r="K23" s="517"/>
      <c r="L23" s="135"/>
      <c r="M23" s="132"/>
      <c r="N23" s="517"/>
      <c r="O23" s="327"/>
      <c r="P23" s="130"/>
    </row>
    <row r="24" spans="1:16" ht="31.5" x14ac:dyDescent="0.25">
      <c r="A24" s="125"/>
      <c r="B24" s="759" t="s">
        <v>645</v>
      </c>
      <c r="C24" s="132"/>
      <c r="D24" s="132"/>
      <c r="E24" s="132"/>
      <c r="F24" s="132"/>
      <c r="G24" s="517"/>
      <c r="H24" s="130"/>
      <c r="I24" s="132"/>
      <c r="J24" s="132"/>
      <c r="K24" s="517"/>
      <c r="L24" s="135"/>
      <c r="M24" s="132"/>
      <c r="N24" s="517"/>
      <c r="O24" s="327"/>
      <c r="P24" s="130"/>
    </row>
    <row r="25" spans="1:16" ht="31.5" x14ac:dyDescent="0.25">
      <c r="A25" s="125"/>
      <c r="B25" s="532" t="s">
        <v>969</v>
      </c>
      <c r="C25" s="132"/>
      <c r="D25" s="132"/>
      <c r="E25" s="132"/>
      <c r="F25" s="132"/>
      <c r="G25" s="517"/>
      <c r="H25" s="130">
        <f>SUM(C25:G25)</f>
        <v>0</v>
      </c>
      <c r="I25" s="132"/>
      <c r="J25" s="132"/>
      <c r="K25" s="876">
        <v>2500</v>
      </c>
      <c r="L25" s="135">
        <f>SUM(I25:K25)</f>
        <v>2500</v>
      </c>
      <c r="M25" s="132"/>
      <c r="N25" s="517"/>
      <c r="O25" s="327"/>
      <c r="P25" s="130">
        <f>O25+L25+H25</f>
        <v>2500</v>
      </c>
    </row>
    <row r="26" spans="1:16" ht="70.5" customHeight="1" x14ac:dyDescent="0.25">
      <c r="A26" s="125"/>
      <c r="B26" s="532" t="s">
        <v>1061</v>
      </c>
      <c r="C26" s="132"/>
      <c r="D26" s="132"/>
      <c r="E26" s="132"/>
      <c r="F26" s="132"/>
      <c r="G26" s="517">
        <v>1880</v>
      </c>
      <c r="H26" s="130">
        <f>SUM(C26:G26)</f>
        <v>1880</v>
      </c>
      <c r="I26" s="132"/>
      <c r="J26" s="132"/>
      <c r="K26" s="517"/>
      <c r="L26" s="135">
        <f>SUM(I26:K26)</f>
        <v>0</v>
      </c>
      <c r="M26" s="132"/>
      <c r="N26" s="517"/>
      <c r="O26" s="327"/>
      <c r="P26" s="130">
        <f>O26+L26+H26</f>
        <v>1880</v>
      </c>
    </row>
    <row r="27" spans="1:16" ht="78.75" x14ac:dyDescent="0.25">
      <c r="A27" s="125"/>
      <c r="B27" s="532" t="s">
        <v>1199</v>
      </c>
      <c r="C27" s="132"/>
      <c r="D27" s="132"/>
      <c r="E27" s="132"/>
      <c r="F27" s="132"/>
      <c r="G27" s="517"/>
      <c r="H27" s="130">
        <f>SUM(C27:G27)</f>
        <v>0</v>
      </c>
      <c r="I27" s="132"/>
      <c r="J27" s="132"/>
      <c r="K27" s="517">
        <v>4000</v>
      </c>
      <c r="L27" s="135">
        <f>SUM(I27:K27)</f>
        <v>4000</v>
      </c>
      <c r="M27" s="132"/>
      <c r="N27" s="517"/>
      <c r="O27" s="327"/>
      <c r="P27" s="130">
        <f>O27+L27+H27</f>
        <v>4000</v>
      </c>
    </row>
    <row r="28" spans="1:16" x14ac:dyDescent="0.25">
      <c r="A28" s="125"/>
      <c r="B28" s="758"/>
      <c r="C28" s="132"/>
      <c r="D28" s="132"/>
      <c r="E28" s="132"/>
      <c r="F28" s="132"/>
      <c r="G28" s="517"/>
      <c r="H28" s="130"/>
      <c r="I28" s="132"/>
      <c r="J28" s="132"/>
      <c r="K28" s="517"/>
      <c r="L28" s="135"/>
      <c r="M28" s="132"/>
      <c r="N28" s="517"/>
      <c r="O28" s="327"/>
      <c r="P28" s="130"/>
    </row>
    <row r="29" spans="1:16" x14ac:dyDescent="0.25">
      <c r="A29" s="125"/>
      <c r="B29" s="758"/>
      <c r="C29" s="132"/>
      <c r="D29" s="132"/>
      <c r="E29" s="132"/>
      <c r="F29" s="132"/>
      <c r="G29" s="517"/>
      <c r="H29" s="130"/>
      <c r="I29" s="132"/>
      <c r="J29" s="132"/>
      <c r="K29" s="517"/>
      <c r="L29" s="135"/>
      <c r="M29" s="132"/>
      <c r="N29" s="517"/>
      <c r="O29" s="327"/>
      <c r="P29" s="130"/>
    </row>
    <row r="30" spans="1:16" s="521" customFormat="1" x14ac:dyDescent="0.25">
      <c r="A30" s="526"/>
      <c r="B30" s="759" t="s">
        <v>729</v>
      </c>
      <c r="C30" s="518"/>
      <c r="D30" s="518"/>
      <c r="E30" s="518"/>
      <c r="F30" s="518"/>
      <c r="G30" s="787"/>
      <c r="H30" s="530"/>
      <c r="I30" s="518"/>
      <c r="J30" s="518"/>
      <c r="K30" s="787"/>
      <c r="L30" s="520"/>
      <c r="M30" s="518"/>
      <c r="N30" s="787"/>
      <c r="O30" s="530"/>
      <c r="P30" s="530"/>
    </row>
    <row r="31" spans="1:16" s="521" customFormat="1" x14ac:dyDescent="0.25">
      <c r="A31" s="780"/>
      <c r="B31" s="769" t="s">
        <v>846</v>
      </c>
      <c r="C31" s="519">
        <v>18</v>
      </c>
      <c r="D31" s="519"/>
      <c r="E31" s="519">
        <v>-118</v>
      </c>
      <c r="F31" s="519"/>
      <c r="G31" s="786">
        <v>100</v>
      </c>
      <c r="H31" s="135">
        <f t="shared" ref="H31" si="1">SUM(C31:G31)</f>
        <v>0</v>
      </c>
      <c r="I31" s="519"/>
      <c r="J31" s="519"/>
      <c r="K31" s="786"/>
      <c r="L31" s="135">
        <f t="shared" ref="L31" si="2">SUM(I31:K31)</f>
        <v>0</v>
      </c>
      <c r="M31" s="519"/>
      <c r="N31" s="786"/>
      <c r="O31" s="520"/>
      <c r="P31" s="135">
        <f t="shared" ref="P31" si="3">O31+L31+H31</f>
        <v>0</v>
      </c>
    </row>
    <row r="32" spans="1:16" s="521" customFormat="1" x14ac:dyDescent="0.25">
      <c r="A32" s="780"/>
      <c r="B32" s="769" t="s">
        <v>1040</v>
      </c>
      <c r="C32" s="519"/>
      <c r="D32" s="519"/>
      <c r="E32" s="519"/>
      <c r="F32" s="519"/>
      <c r="G32" s="786">
        <v>-200</v>
      </c>
      <c r="H32" s="135">
        <f t="shared" ref="H32:H35" si="4">SUM(C32:G32)</f>
        <v>-200</v>
      </c>
      <c r="I32" s="519"/>
      <c r="J32" s="519"/>
      <c r="K32" s="786">
        <v>200</v>
      </c>
      <c r="L32" s="135">
        <f t="shared" ref="L32:L33" si="5">SUM(I32:K32)</f>
        <v>200</v>
      </c>
      <c r="M32" s="519"/>
      <c r="N32" s="786"/>
      <c r="O32" s="520"/>
      <c r="P32" s="135">
        <f t="shared" ref="P32:P33" si="6">O32+L32+H32</f>
        <v>0</v>
      </c>
    </row>
    <row r="33" spans="1:16" s="521" customFormat="1" ht="61.5" customHeight="1" x14ac:dyDescent="0.25">
      <c r="A33" s="780"/>
      <c r="B33" s="769" t="s">
        <v>1041</v>
      </c>
      <c r="C33" s="519"/>
      <c r="D33" s="519"/>
      <c r="E33" s="519"/>
      <c r="F33" s="519"/>
      <c r="G33" s="786">
        <v>-5000</v>
      </c>
      <c r="H33" s="135">
        <f t="shared" si="4"/>
        <v>-5000</v>
      </c>
      <c r="I33" s="519"/>
      <c r="J33" s="519"/>
      <c r="K33" s="786">
        <v>5000</v>
      </c>
      <c r="L33" s="135">
        <f t="shared" si="5"/>
        <v>5000</v>
      </c>
      <c r="M33" s="519"/>
      <c r="N33" s="786"/>
      <c r="O33" s="520"/>
      <c r="P33" s="135">
        <f t="shared" si="6"/>
        <v>0</v>
      </c>
    </row>
    <row r="34" spans="1:16" s="521" customFormat="1" ht="39.75" customHeight="1" x14ac:dyDescent="0.25">
      <c r="A34" s="526"/>
      <c r="B34" s="533" t="s">
        <v>1202</v>
      </c>
      <c r="C34" s="518"/>
      <c r="D34" s="518"/>
      <c r="E34" s="518"/>
      <c r="F34" s="518"/>
      <c r="G34" s="787"/>
      <c r="H34" s="135">
        <f t="shared" si="4"/>
        <v>0</v>
      </c>
      <c r="I34" s="518"/>
      <c r="J34" s="518"/>
      <c r="K34" s="787">
        <v>-5000</v>
      </c>
      <c r="L34" s="135">
        <f t="shared" ref="L34:L35" si="7">SUM(I34:K34)</f>
        <v>-5000</v>
      </c>
      <c r="M34" s="519"/>
      <c r="N34" s="786"/>
      <c r="O34" s="520"/>
      <c r="P34" s="135">
        <f t="shared" ref="P34:P35" si="8">O34+L34+H34</f>
        <v>-5000</v>
      </c>
    </row>
    <row r="35" spans="1:16" s="521" customFormat="1" ht="78" customHeight="1" x14ac:dyDescent="0.25">
      <c r="A35" s="526"/>
      <c r="B35" s="533" t="s">
        <v>1203</v>
      </c>
      <c r="C35" s="518"/>
      <c r="D35" s="518"/>
      <c r="E35" s="518"/>
      <c r="F35" s="518"/>
      <c r="G35" s="787"/>
      <c r="H35" s="135">
        <f t="shared" si="4"/>
        <v>0</v>
      </c>
      <c r="I35" s="518"/>
      <c r="J35" s="518"/>
      <c r="K35" s="787">
        <v>5000</v>
      </c>
      <c r="L35" s="135">
        <f t="shared" si="7"/>
        <v>5000</v>
      </c>
      <c r="M35" s="519"/>
      <c r="N35" s="786"/>
      <c r="O35" s="520"/>
      <c r="P35" s="135">
        <f t="shared" si="8"/>
        <v>5000</v>
      </c>
    </row>
    <row r="36" spans="1:16" s="521" customFormat="1" x14ac:dyDescent="0.25">
      <c r="A36" s="526"/>
      <c r="B36" s="533"/>
      <c r="C36" s="518"/>
      <c r="D36" s="518"/>
      <c r="E36" s="518"/>
      <c r="F36" s="518"/>
      <c r="G36" s="787"/>
      <c r="H36" s="130"/>
      <c r="I36" s="518"/>
      <c r="J36" s="518"/>
      <c r="K36" s="787"/>
      <c r="L36" s="135"/>
      <c r="M36" s="518"/>
      <c r="N36" s="787"/>
      <c r="O36" s="530"/>
      <c r="P36" s="130"/>
    </row>
    <row r="37" spans="1:16" s="521" customFormat="1" x14ac:dyDescent="0.25">
      <c r="A37" s="526"/>
      <c r="B37" s="758" t="s">
        <v>137</v>
      </c>
      <c r="C37" s="518"/>
      <c r="D37" s="518"/>
      <c r="E37" s="518"/>
      <c r="F37" s="518"/>
      <c r="G37" s="787"/>
      <c r="H37" s="130"/>
      <c r="I37" s="518"/>
      <c r="J37" s="518"/>
      <c r="K37" s="787"/>
      <c r="L37" s="135"/>
      <c r="M37" s="518"/>
      <c r="N37" s="787"/>
      <c r="O37" s="530"/>
      <c r="P37" s="130"/>
    </row>
    <row r="38" spans="1:16" s="521" customFormat="1" x14ac:dyDescent="0.25">
      <c r="A38" s="526"/>
      <c r="B38" s="759" t="s">
        <v>729</v>
      </c>
      <c r="C38" s="518"/>
      <c r="D38" s="518"/>
      <c r="E38" s="518"/>
      <c r="F38" s="518"/>
      <c r="G38" s="787"/>
      <c r="H38" s="130"/>
      <c r="I38" s="518"/>
      <c r="J38" s="518"/>
      <c r="K38" s="787"/>
      <c r="L38" s="135"/>
      <c r="M38" s="518"/>
      <c r="N38" s="787"/>
      <c r="O38" s="530"/>
      <c r="P38" s="130"/>
    </row>
    <row r="39" spans="1:16" s="521" customFormat="1" x14ac:dyDescent="0.25">
      <c r="A39" s="526"/>
      <c r="B39" s="533" t="s">
        <v>848</v>
      </c>
      <c r="C39" s="518">
        <v>19</v>
      </c>
      <c r="D39" s="518"/>
      <c r="E39" s="518">
        <v>-19</v>
      </c>
      <c r="F39" s="518"/>
      <c r="G39" s="787"/>
      <c r="H39" s="130">
        <f t="shared" ref="H39" si="9">SUM(C39:G39)</f>
        <v>0</v>
      </c>
      <c r="I39" s="518"/>
      <c r="J39" s="518"/>
      <c r="K39" s="787"/>
      <c r="L39" s="135">
        <f t="shared" ref="L39" si="10">SUM(I39:K39)</f>
        <v>0</v>
      </c>
      <c r="M39" s="518"/>
      <c r="N39" s="787"/>
      <c r="O39" s="530"/>
      <c r="P39" s="130">
        <f t="shared" ref="P39" si="11">O39+L39+H39</f>
        <v>0</v>
      </c>
    </row>
    <row r="40" spans="1:16" s="521" customFormat="1" x14ac:dyDescent="0.25">
      <c r="A40" s="526"/>
      <c r="B40" s="533"/>
      <c r="C40" s="518"/>
      <c r="D40" s="518"/>
      <c r="E40" s="518"/>
      <c r="F40" s="518"/>
      <c r="G40" s="787"/>
      <c r="H40" s="130"/>
      <c r="I40" s="518"/>
      <c r="J40" s="518"/>
      <c r="K40" s="787"/>
      <c r="L40" s="135"/>
      <c r="M40" s="518"/>
      <c r="N40" s="787"/>
      <c r="O40" s="530"/>
      <c r="P40" s="130"/>
    </row>
    <row r="41" spans="1:16" s="521" customFormat="1" x14ac:dyDescent="0.25">
      <c r="A41" s="526"/>
      <c r="B41" s="759" t="s">
        <v>1057</v>
      </c>
      <c r="C41" s="518"/>
      <c r="D41" s="518"/>
      <c r="E41" s="518"/>
      <c r="F41" s="518"/>
      <c r="G41" s="787"/>
      <c r="H41" s="130"/>
      <c r="I41" s="518"/>
      <c r="J41" s="518"/>
      <c r="K41" s="787"/>
      <c r="L41" s="135"/>
      <c r="M41" s="518"/>
      <c r="N41" s="787"/>
      <c r="O41" s="530"/>
      <c r="P41" s="130"/>
    </row>
    <row r="42" spans="1:16" s="521" customFormat="1" ht="63" x14ac:dyDescent="0.25">
      <c r="A42" s="526"/>
      <c r="B42" s="533" t="s">
        <v>1058</v>
      </c>
      <c r="C42" s="518"/>
      <c r="D42" s="518"/>
      <c r="E42" s="518"/>
      <c r="F42" s="518"/>
      <c r="G42" s="787">
        <v>-482</v>
      </c>
      <c r="H42" s="130">
        <f t="shared" ref="H42" si="12">SUM(C42:G42)</f>
        <v>-482</v>
      </c>
      <c r="I42" s="518"/>
      <c r="J42" s="518"/>
      <c r="K42" s="787"/>
      <c r="L42" s="135">
        <f t="shared" ref="L42" si="13">SUM(I42:K42)</f>
        <v>0</v>
      </c>
      <c r="M42" s="518"/>
      <c r="N42" s="787"/>
      <c r="O42" s="530"/>
      <c r="P42" s="130">
        <f t="shared" ref="P42" si="14">O42+L42+H42</f>
        <v>-482</v>
      </c>
    </row>
    <row r="43" spans="1:16" s="521" customFormat="1" x14ac:dyDescent="0.25">
      <c r="A43" s="526"/>
      <c r="B43" s="533"/>
      <c r="C43" s="518"/>
      <c r="D43" s="518"/>
      <c r="E43" s="518"/>
      <c r="F43" s="518"/>
      <c r="G43" s="787"/>
      <c r="H43" s="130"/>
      <c r="I43" s="518"/>
      <c r="J43" s="518"/>
      <c r="K43" s="787"/>
      <c r="L43" s="135"/>
      <c r="M43" s="518"/>
      <c r="N43" s="787"/>
      <c r="O43" s="530"/>
      <c r="P43" s="130"/>
    </row>
    <row r="44" spans="1:16" x14ac:dyDescent="0.25">
      <c r="A44" s="125"/>
      <c r="B44" s="153" t="s">
        <v>114</v>
      </c>
      <c r="C44" s="132"/>
      <c r="D44" s="132"/>
      <c r="E44" s="132"/>
      <c r="F44" s="132"/>
      <c r="G44" s="517"/>
      <c r="H44" s="130"/>
      <c r="I44" s="132"/>
      <c r="J44" s="132"/>
      <c r="K44" s="517"/>
      <c r="L44" s="135"/>
      <c r="M44" s="132"/>
      <c r="N44" s="517"/>
      <c r="O44" s="327"/>
      <c r="P44" s="130"/>
    </row>
    <row r="45" spans="1:16" ht="31.5" x14ac:dyDescent="0.25">
      <c r="A45" s="125"/>
      <c r="B45" s="759" t="s">
        <v>646</v>
      </c>
      <c r="C45" s="132"/>
      <c r="D45" s="132"/>
      <c r="E45" s="132"/>
      <c r="F45" s="132"/>
      <c r="G45" s="517"/>
      <c r="H45" s="130"/>
      <c r="I45" s="132"/>
      <c r="J45" s="132"/>
      <c r="K45" s="517"/>
      <c r="L45" s="135"/>
      <c r="M45" s="132"/>
      <c r="N45" s="517"/>
      <c r="O45" s="327"/>
      <c r="P45" s="130"/>
    </row>
    <row r="46" spans="1:16" ht="31.5" x14ac:dyDescent="0.25">
      <c r="A46" s="125"/>
      <c r="B46" s="533" t="s">
        <v>956</v>
      </c>
      <c r="C46" s="132">
        <v>4487</v>
      </c>
      <c r="D46" s="132">
        <v>1212</v>
      </c>
      <c r="E46" s="132"/>
      <c r="F46" s="132"/>
      <c r="G46" s="517"/>
      <c r="H46" s="130">
        <f>SUM(C46:G46)</f>
        <v>5699</v>
      </c>
      <c r="I46" s="132"/>
      <c r="J46" s="132"/>
      <c r="K46" s="517"/>
      <c r="L46" s="135">
        <f>SUM(I46:K46)</f>
        <v>0</v>
      </c>
      <c r="M46" s="132"/>
      <c r="N46" s="517"/>
      <c r="O46" s="327"/>
      <c r="P46" s="130">
        <f>O46+L46+H46</f>
        <v>5699</v>
      </c>
    </row>
    <row r="47" spans="1:16" x14ac:dyDescent="0.25">
      <c r="A47" s="125"/>
      <c r="B47" s="533" t="s">
        <v>957</v>
      </c>
      <c r="C47" s="132">
        <v>4039</v>
      </c>
      <c r="D47" s="132">
        <v>1090</v>
      </c>
      <c r="E47" s="132"/>
      <c r="F47" s="132"/>
      <c r="G47" s="517"/>
      <c r="H47" s="130">
        <f>SUM(C47:G47)</f>
        <v>5129</v>
      </c>
      <c r="I47" s="132"/>
      <c r="J47" s="132"/>
      <c r="K47" s="517"/>
      <c r="L47" s="135">
        <f>SUM(I47:K47)</f>
        <v>0</v>
      </c>
      <c r="M47" s="132"/>
      <c r="N47" s="517"/>
      <c r="O47" s="327"/>
      <c r="P47" s="130">
        <f>O47+L47+H47</f>
        <v>5129</v>
      </c>
    </row>
    <row r="48" spans="1:16" x14ac:dyDescent="0.25">
      <c r="A48" s="125"/>
      <c r="B48" s="533"/>
      <c r="C48" s="132"/>
      <c r="D48" s="132"/>
      <c r="E48" s="132"/>
      <c r="F48" s="132"/>
      <c r="G48" s="517"/>
      <c r="H48" s="130"/>
      <c r="I48" s="132"/>
      <c r="J48" s="132"/>
      <c r="K48" s="517"/>
      <c r="L48" s="135"/>
      <c r="M48" s="132"/>
      <c r="N48" s="517"/>
      <c r="O48" s="327"/>
      <c r="P48" s="130"/>
    </row>
    <row r="49" spans="1:16" x14ac:dyDescent="0.25">
      <c r="A49" s="125"/>
      <c r="B49" s="153" t="s">
        <v>115</v>
      </c>
      <c r="C49" s="132"/>
      <c r="D49" s="132"/>
      <c r="E49" s="132"/>
      <c r="F49" s="132"/>
      <c r="G49" s="517"/>
      <c r="H49" s="130"/>
      <c r="I49" s="132"/>
      <c r="J49" s="132"/>
      <c r="K49" s="517"/>
      <c r="L49" s="135"/>
      <c r="M49" s="132"/>
      <c r="N49" s="517"/>
      <c r="O49" s="327"/>
      <c r="P49" s="130"/>
    </row>
    <row r="50" spans="1:16" ht="31.5" x14ac:dyDescent="0.25">
      <c r="A50" s="125"/>
      <c r="B50" s="759" t="s">
        <v>868</v>
      </c>
      <c r="C50" s="132"/>
      <c r="D50" s="132"/>
      <c r="E50" s="132"/>
      <c r="F50" s="132"/>
      <c r="G50" s="517"/>
      <c r="H50" s="130"/>
      <c r="I50" s="132"/>
      <c r="J50" s="132"/>
      <c r="K50" s="517"/>
      <c r="L50" s="135"/>
      <c r="M50" s="132"/>
      <c r="N50" s="517"/>
      <c r="O50" s="327"/>
      <c r="P50" s="130"/>
    </row>
    <row r="51" spans="1:16" ht="66.75" customHeight="1" x14ac:dyDescent="0.25">
      <c r="A51" s="125"/>
      <c r="B51" s="533" t="s">
        <v>1074</v>
      </c>
      <c r="C51" s="132"/>
      <c r="D51" s="132"/>
      <c r="E51" s="132">
        <v>10147</v>
      </c>
      <c r="F51" s="132"/>
      <c r="G51" s="517"/>
      <c r="H51" s="130">
        <f>SUM(C51:G51)</f>
        <v>10147</v>
      </c>
      <c r="I51" s="132"/>
      <c r="J51" s="132"/>
      <c r="K51" s="517"/>
      <c r="L51" s="135">
        <f>SUM(I51:K51)</f>
        <v>0</v>
      </c>
      <c r="M51" s="132"/>
      <c r="N51" s="517"/>
      <c r="O51" s="327"/>
      <c r="P51" s="130">
        <f>O51+L51+H51</f>
        <v>10147</v>
      </c>
    </row>
    <row r="52" spans="1:16" x14ac:dyDescent="0.25">
      <c r="A52" s="125"/>
      <c r="B52" s="533"/>
      <c r="C52" s="132"/>
      <c r="D52" s="132"/>
      <c r="E52" s="132"/>
      <c r="F52" s="132"/>
      <c r="G52" s="517"/>
      <c r="H52" s="130"/>
      <c r="I52" s="132"/>
      <c r="J52" s="132"/>
      <c r="K52" s="517"/>
      <c r="L52" s="135"/>
      <c r="M52" s="132"/>
      <c r="N52" s="517"/>
      <c r="O52" s="327"/>
      <c r="P52" s="130"/>
    </row>
    <row r="53" spans="1:16" ht="31.5" x14ac:dyDescent="0.25">
      <c r="A53" s="125"/>
      <c r="B53" s="153" t="s">
        <v>139</v>
      </c>
      <c r="C53" s="132"/>
      <c r="D53" s="132"/>
      <c r="E53" s="132"/>
      <c r="F53" s="132"/>
      <c r="G53" s="517"/>
      <c r="H53" s="130"/>
      <c r="I53" s="132"/>
      <c r="J53" s="132"/>
      <c r="K53" s="517"/>
      <c r="L53" s="135"/>
      <c r="M53" s="132"/>
      <c r="N53" s="517"/>
      <c r="O53" s="327"/>
      <c r="P53" s="130"/>
    </row>
    <row r="54" spans="1:16" x14ac:dyDescent="0.25">
      <c r="A54" s="125"/>
      <c r="B54" s="759" t="s">
        <v>729</v>
      </c>
      <c r="C54" s="132"/>
      <c r="D54" s="132"/>
      <c r="E54" s="132"/>
      <c r="F54" s="132"/>
      <c r="G54" s="517"/>
      <c r="H54" s="130"/>
      <c r="I54" s="132"/>
      <c r="J54" s="132"/>
      <c r="K54" s="517"/>
      <c r="L54" s="135"/>
      <c r="M54" s="132"/>
      <c r="N54" s="517"/>
      <c r="O54" s="327"/>
      <c r="P54" s="130"/>
    </row>
    <row r="55" spans="1:16" ht="47.25" x14ac:dyDescent="0.25">
      <c r="A55" s="125"/>
      <c r="B55" s="533" t="s">
        <v>1042</v>
      </c>
      <c r="C55" s="132">
        <v>4096</v>
      </c>
      <c r="D55" s="132">
        <v>1239</v>
      </c>
      <c r="E55" s="132">
        <v>-5335</v>
      </c>
      <c r="F55" s="132"/>
      <c r="G55" s="517"/>
      <c r="H55" s="130">
        <f>SUM(C55:G55)</f>
        <v>0</v>
      </c>
      <c r="I55" s="132"/>
      <c r="J55" s="132"/>
      <c r="K55" s="517"/>
      <c r="L55" s="135">
        <f>SUM(I55:K55)</f>
        <v>0</v>
      </c>
      <c r="M55" s="132"/>
      <c r="N55" s="517"/>
      <c r="O55" s="327"/>
      <c r="P55" s="130">
        <f>O55+L55+H55</f>
        <v>0</v>
      </c>
    </row>
    <row r="56" spans="1:16" x14ac:dyDescent="0.25">
      <c r="A56" s="125"/>
      <c r="B56" s="533"/>
      <c r="C56" s="132"/>
      <c r="D56" s="132"/>
      <c r="E56" s="132"/>
      <c r="F56" s="132"/>
      <c r="G56" s="517"/>
      <c r="H56" s="130"/>
      <c r="I56" s="132"/>
      <c r="J56" s="132"/>
      <c r="K56" s="517"/>
      <c r="L56" s="135"/>
      <c r="M56" s="132"/>
      <c r="N56" s="517"/>
      <c r="O56" s="327"/>
      <c r="P56" s="130"/>
    </row>
    <row r="57" spans="1:16" ht="31.5" x14ac:dyDescent="0.25">
      <c r="A57" s="140"/>
      <c r="B57" s="770" t="s">
        <v>868</v>
      </c>
      <c r="C57" s="137"/>
      <c r="D57" s="137"/>
      <c r="E57" s="137"/>
      <c r="F57" s="137"/>
      <c r="G57" s="148"/>
      <c r="H57" s="135"/>
      <c r="I57" s="137"/>
      <c r="J57" s="137"/>
      <c r="K57" s="148"/>
      <c r="L57" s="135"/>
      <c r="M57" s="137"/>
      <c r="N57" s="148"/>
      <c r="O57" s="328"/>
      <c r="P57" s="135"/>
    </row>
    <row r="58" spans="1:16" ht="51.75" customHeight="1" x14ac:dyDescent="0.25">
      <c r="A58" s="140"/>
      <c r="B58" s="769" t="s">
        <v>1075</v>
      </c>
      <c r="C58" s="137"/>
      <c r="D58" s="137"/>
      <c r="E58" s="137"/>
      <c r="F58" s="137"/>
      <c r="G58" s="148"/>
      <c r="H58" s="135">
        <f>SUM(C58:G58)</f>
        <v>0</v>
      </c>
      <c r="I58" s="137">
        <v>-10147</v>
      </c>
      <c r="J58" s="137"/>
      <c r="K58" s="148"/>
      <c r="L58" s="135">
        <f>SUM(I58:K58)</f>
        <v>-10147</v>
      </c>
      <c r="M58" s="137"/>
      <c r="N58" s="148"/>
      <c r="O58" s="328"/>
      <c r="P58" s="135">
        <f>O58+L58+H58</f>
        <v>-10147</v>
      </c>
    </row>
    <row r="59" spans="1:16" x14ac:dyDescent="0.25">
      <c r="A59" s="125"/>
      <c r="B59" s="533"/>
      <c r="C59" s="132"/>
      <c r="D59" s="132"/>
      <c r="E59" s="132"/>
      <c r="F59" s="132"/>
      <c r="G59" s="517"/>
      <c r="H59" s="130"/>
      <c r="I59" s="132"/>
      <c r="J59" s="132"/>
      <c r="K59" s="517"/>
      <c r="L59" s="135"/>
      <c r="M59" s="132"/>
      <c r="N59" s="517"/>
      <c r="O59" s="327"/>
      <c r="P59" s="130"/>
    </row>
    <row r="60" spans="1:16" s="128" customFormat="1" x14ac:dyDescent="0.25">
      <c r="A60" s="140" t="s">
        <v>849</v>
      </c>
      <c r="B60" s="129" t="s">
        <v>850</v>
      </c>
      <c r="C60" s="141"/>
      <c r="D60" s="141"/>
      <c r="E60" s="141"/>
      <c r="F60" s="141"/>
      <c r="G60" s="143"/>
      <c r="H60" s="135"/>
      <c r="I60" s="141"/>
      <c r="J60" s="141"/>
      <c r="K60" s="143"/>
      <c r="L60" s="135"/>
      <c r="M60" s="141"/>
      <c r="N60" s="143"/>
      <c r="O60" s="135"/>
      <c r="P60" s="135"/>
    </row>
    <row r="61" spans="1:16" x14ac:dyDescent="0.25">
      <c r="A61" s="140"/>
      <c r="B61" s="144" t="s">
        <v>116</v>
      </c>
      <c r="C61" s="137"/>
      <c r="D61" s="138"/>
      <c r="E61" s="138"/>
      <c r="F61" s="138"/>
      <c r="G61" s="148"/>
      <c r="H61" s="130"/>
      <c r="I61" s="137"/>
      <c r="J61" s="137"/>
      <c r="K61" s="139"/>
      <c r="L61" s="135"/>
      <c r="M61" s="137"/>
      <c r="N61" s="139"/>
      <c r="O61" s="328"/>
      <c r="P61" s="130"/>
    </row>
    <row r="62" spans="1:16" x14ac:dyDescent="0.25">
      <c r="A62" s="140"/>
      <c r="B62" s="522" t="s">
        <v>729</v>
      </c>
      <c r="C62" s="137"/>
      <c r="D62" s="138"/>
      <c r="E62" s="138"/>
      <c r="F62" s="138"/>
      <c r="G62" s="148"/>
      <c r="H62" s="130"/>
      <c r="I62" s="137"/>
      <c r="J62" s="137"/>
      <c r="K62" s="139"/>
      <c r="L62" s="135"/>
      <c r="M62" s="137"/>
      <c r="N62" s="139"/>
      <c r="O62" s="328"/>
      <c r="P62" s="130"/>
    </row>
    <row r="63" spans="1:16" x14ac:dyDescent="0.25">
      <c r="A63" s="140"/>
      <c r="B63" s="146" t="s">
        <v>1043</v>
      </c>
      <c r="C63" s="137">
        <v>319</v>
      </c>
      <c r="D63" s="138"/>
      <c r="E63" s="138">
        <v>150</v>
      </c>
      <c r="F63" s="138">
        <v>-614</v>
      </c>
      <c r="G63" s="148">
        <v>145</v>
      </c>
      <c r="H63" s="130">
        <f>SUM(C63:G63)</f>
        <v>0</v>
      </c>
      <c r="I63" s="519"/>
      <c r="J63" s="519"/>
      <c r="K63" s="523"/>
      <c r="L63" s="135">
        <f>SUM(I63:K63)</f>
        <v>0</v>
      </c>
      <c r="M63" s="519"/>
      <c r="N63" s="523"/>
      <c r="O63" s="520"/>
      <c r="P63" s="130">
        <f>O63+L63+H63</f>
        <v>0</v>
      </c>
    </row>
    <row r="64" spans="1:16" x14ac:dyDescent="0.25">
      <c r="A64" s="140"/>
      <c r="B64" s="146"/>
      <c r="C64" s="137"/>
      <c r="D64" s="137"/>
      <c r="E64" s="137"/>
      <c r="F64" s="137"/>
      <c r="G64" s="148"/>
      <c r="H64" s="130"/>
      <c r="I64" s="519"/>
      <c r="J64" s="519"/>
      <c r="K64" s="786"/>
      <c r="L64" s="135"/>
      <c r="M64" s="519"/>
      <c r="N64" s="786"/>
      <c r="O64" s="520"/>
      <c r="P64" s="130"/>
    </row>
    <row r="65" spans="1:16" s="128" customFormat="1" x14ac:dyDescent="0.25">
      <c r="A65" s="140" t="s">
        <v>42</v>
      </c>
      <c r="B65" s="129" t="s">
        <v>43</v>
      </c>
      <c r="C65" s="141"/>
      <c r="D65" s="141"/>
      <c r="E65" s="141"/>
      <c r="F65" s="141"/>
      <c r="G65" s="143"/>
      <c r="H65" s="135"/>
      <c r="I65" s="141"/>
      <c r="J65" s="141"/>
      <c r="K65" s="143"/>
      <c r="L65" s="135"/>
      <c r="M65" s="141"/>
      <c r="N65" s="143"/>
      <c r="O65" s="135"/>
      <c r="P65" s="135"/>
    </row>
    <row r="66" spans="1:16" x14ac:dyDescent="0.25">
      <c r="A66" s="140"/>
      <c r="B66" s="144" t="s">
        <v>351</v>
      </c>
      <c r="C66" s="137"/>
      <c r="D66" s="138"/>
      <c r="E66" s="138"/>
      <c r="F66" s="138"/>
      <c r="G66" s="148"/>
      <c r="H66" s="130"/>
      <c r="I66" s="137"/>
      <c r="J66" s="137"/>
      <c r="K66" s="139"/>
      <c r="L66" s="135"/>
      <c r="M66" s="137"/>
      <c r="N66" s="139"/>
      <c r="O66" s="328"/>
      <c r="P66" s="130"/>
    </row>
    <row r="67" spans="1:16" ht="31.5" x14ac:dyDescent="0.25">
      <c r="A67" s="140"/>
      <c r="B67" s="525" t="s">
        <v>1007</v>
      </c>
      <c r="C67" s="137"/>
      <c r="D67" s="138"/>
      <c r="E67" s="138"/>
      <c r="F67" s="138"/>
      <c r="G67" s="148"/>
      <c r="H67" s="130"/>
      <c r="I67" s="519"/>
      <c r="J67" s="519"/>
      <c r="K67" s="523"/>
      <c r="L67" s="135"/>
      <c r="M67" s="519"/>
      <c r="N67" s="523"/>
      <c r="O67" s="520"/>
      <c r="P67" s="130"/>
    </row>
    <row r="68" spans="1:16" ht="63" x14ac:dyDescent="0.25">
      <c r="A68" s="140"/>
      <c r="B68" s="146" t="s">
        <v>1035</v>
      </c>
      <c r="C68" s="137"/>
      <c r="D68" s="138"/>
      <c r="E68" s="138"/>
      <c r="F68" s="138"/>
      <c r="G68" s="148"/>
      <c r="H68" s="130">
        <f t="shared" ref="H68:H70" si="15">SUM(C68:G68)</f>
        <v>0</v>
      </c>
      <c r="I68" s="519"/>
      <c r="J68" s="519">
        <v>-63398</v>
      </c>
      <c r="K68" s="523"/>
      <c r="L68" s="135">
        <f t="shared" ref="L68" si="16">SUM(I68:K68)</f>
        <v>-63398</v>
      </c>
      <c r="M68" s="519"/>
      <c r="N68" s="523"/>
      <c r="O68" s="520"/>
      <c r="P68" s="130">
        <f t="shared" ref="P68" si="17">O68+L68+H68</f>
        <v>-63398</v>
      </c>
    </row>
    <row r="69" spans="1:16" ht="63" x14ac:dyDescent="0.25">
      <c r="A69" s="140"/>
      <c r="B69" s="146" t="s">
        <v>1091</v>
      </c>
      <c r="C69" s="137"/>
      <c r="D69" s="138"/>
      <c r="E69" s="138"/>
      <c r="F69" s="138"/>
      <c r="G69" s="788"/>
      <c r="H69" s="130">
        <f t="shared" si="15"/>
        <v>0</v>
      </c>
      <c r="I69" s="519"/>
      <c r="J69" s="519">
        <v>-31706</v>
      </c>
      <c r="K69" s="523"/>
      <c r="L69" s="135">
        <f t="shared" ref="L69:L70" si="18">SUM(I69:K69)</f>
        <v>-31706</v>
      </c>
      <c r="M69" s="519"/>
      <c r="N69" s="523"/>
      <c r="O69" s="520"/>
      <c r="P69" s="130">
        <f t="shared" ref="P69:P70" si="19">O69+L69+H69</f>
        <v>-31706</v>
      </c>
    </row>
    <row r="70" spans="1:16" ht="78.75" x14ac:dyDescent="0.25">
      <c r="A70" s="140"/>
      <c r="B70" s="146" t="s">
        <v>1092</v>
      </c>
      <c r="C70" s="137"/>
      <c r="D70" s="138"/>
      <c r="E70" s="138"/>
      <c r="F70" s="138"/>
      <c r="G70" s="788"/>
      <c r="H70" s="130">
        <f t="shared" si="15"/>
        <v>0</v>
      </c>
      <c r="I70" s="519"/>
      <c r="J70" s="519">
        <v>209000</v>
      </c>
      <c r="K70" s="523"/>
      <c r="L70" s="135">
        <f t="shared" si="18"/>
        <v>209000</v>
      </c>
      <c r="M70" s="519"/>
      <c r="N70" s="523"/>
      <c r="O70" s="520"/>
      <c r="P70" s="130">
        <f t="shared" si="19"/>
        <v>209000</v>
      </c>
    </row>
    <row r="71" spans="1:16" x14ac:dyDescent="0.25">
      <c r="A71" s="136"/>
      <c r="B71" s="524"/>
      <c r="C71" s="137"/>
      <c r="D71" s="138"/>
      <c r="E71" s="138"/>
      <c r="F71" s="139"/>
      <c r="G71" s="139"/>
      <c r="H71" s="130"/>
      <c r="I71" s="519"/>
      <c r="J71" s="519"/>
      <c r="K71" s="523"/>
      <c r="L71" s="135"/>
      <c r="M71" s="519"/>
      <c r="N71" s="523"/>
      <c r="O71" s="520"/>
      <c r="P71" s="130"/>
    </row>
    <row r="72" spans="1:16" ht="31.5" x14ac:dyDescent="0.25">
      <c r="A72" s="140"/>
      <c r="B72" s="525" t="s">
        <v>946</v>
      </c>
      <c r="C72" s="137"/>
      <c r="D72" s="138"/>
      <c r="E72" s="138"/>
      <c r="F72" s="138"/>
      <c r="G72" s="148"/>
      <c r="H72" s="130"/>
      <c r="I72" s="519"/>
      <c r="J72" s="519"/>
      <c r="K72" s="523"/>
      <c r="L72" s="135"/>
      <c r="M72" s="519"/>
      <c r="N72" s="523"/>
      <c r="O72" s="520"/>
      <c r="P72" s="130"/>
    </row>
    <row r="73" spans="1:16" x14ac:dyDescent="0.25">
      <c r="A73" s="140"/>
      <c r="B73" s="146" t="s">
        <v>730</v>
      </c>
      <c r="C73" s="137"/>
      <c r="D73" s="138"/>
      <c r="E73" s="138"/>
      <c r="F73" s="138"/>
      <c r="G73" s="148"/>
      <c r="H73" s="130">
        <f t="shared" ref="H73" si="20">SUM(C73:G73)</f>
        <v>0</v>
      </c>
      <c r="I73" s="519"/>
      <c r="J73" s="519">
        <v>-15000</v>
      </c>
      <c r="K73" s="523"/>
      <c r="L73" s="135">
        <f t="shared" ref="L73" si="21">SUM(I73:K73)</f>
        <v>-15000</v>
      </c>
      <c r="M73" s="519"/>
      <c r="N73" s="523"/>
      <c r="O73" s="520"/>
      <c r="P73" s="130">
        <f t="shared" ref="P73" si="22">O73+L73+H73</f>
        <v>-15000</v>
      </c>
    </row>
    <row r="74" spans="1:16" x14ac:dyDescent="0.25">
      <c r="A74" s="140"/>
      <c r="B74" s="146"/>
      <c r="C74" s="137"/>
      <c r="D74" s="138"/>
      <c r="E74" s="138"/>
      <c r="F74" s="138"/>
      <c r="G74" s="148"/>
      <c r="H74" s="130"/>
      <c r="I74" s="519"/>
      <c r="J74" s="519"/>
      <c r="K74" s="523"/>
      <c r="L74" s="135"/>
      <c r="M74" s="519"/>
      <c r="N74" s="523"/>
      <c r="O74" s="520"/>
      <c r="P74" s="130"/>
    </row>
    <row r="75" spans="1:16" ht="31.5" x14ac:dyDescent="0.25">
      <c r="A75" s="136"/>
      <c r="B75" s="531" t="s">
        <v>646</v>
      </c>
      <c r="C75" s="137"/>
      <c r="D75" s="138"/>
      <c r="E75" s="138"/>
      <c r="F75" s="139"/>
      <c r="G75" s="139"/>
      <c r="H75" s="130"/>
      <c r="I75" s="137"/>
      <c r="J75" s="137"/>
      <c r="K75" s="139"/>
      <c r="L75" s="135"/>
      <c r="M75" s="137"/>
      <c r="N75" s="139"/>
      <c r="O75" s="328"/>
      <c r="P75" s="130"/>
    </row>
    <row r="76" spans="1:16" x14ac:dyDescent="0.25">
      <c r="A76" s="136"/>
      <c r="B76" s="798" t="s">
        <v>730</v>
      </c>
      <c r="C76" s="137"/>
      <c r="D76" s="138"/>
      <c r="E76" s="138">
        <v>28</v>
      </c>
      <c r="F76" s="139"/>
      <c r="G76" s="139"/>
      <c r="H76" s="130">
        <f t="shared" ref="H76:H80" si="23">SUM(C76:G76)</f>
        <v>28</v>
      </c>
      <c r="I76" s="137"/>
      <c r="J76" s="137">
        <v>14972</v>
      </c>
      <c r="K76" s="139"/>
      <c r="L76" s="135">
        <f t="shared" ref="L76" si="24">SUM(I76:K76)</f>
        <v>14972</v>
      </c>
      <c r="M76" s="137"/>
      <c r="N76" s="139"/>
      <c r="O76" s="328"/>
      <c r="P76" s="130">
        <f t="shared" ref="P76" si="25">O76+L76+H76</f>
        <v>15000</v>
      </c>
    </row>
    <row r="77" spans="1:16" ht="31.5" x14ac:dyDescent="0.25">
      <c r="A77" s="136"/>
      <c r="B77" s="798" t="s">
        <v>959</v>
      </c>
      <c r="C77" s="137"/>
      <c r="D77" s="138"/>
      <c r="E77" s="138"/>
      <c r="F77" s="139"/>
      <c r="G77" s="139"/>
      <c r="H77" s="130">
        <f t="shared" si="23"/>
        <v>0</v>
      </c>
      <c r="I77" s="137"/>
      <c r="J77" s="137">
        <v>5871</v>
      </c>
      <c r="K77" s="139"/>
      <c r="L77" s="135">
        <f t="shared" ref="L77" si="26">SUM(I77:K77)</f>
        <v>5871</v>
      </c>
      <c r="M77" s="137"/>
      <c r="N77" s="139"/>
      <c r="O77" s="328"/>
      <c r="P77" s="130">
        <f t="shared" ref="P77" si="27">O77+L77+H77</f>
        <v>5871</v>
      </c>
    </row>
    <row r="78" spans="1:16" ht="47.25" x14ac:dyDescent="0.25">
      <c r="A78" s="136"/>
      <c r="B78" s="798" t="s">
        <v>990</v>
      </c>
      <c r="C78" s="137"/>
      <c r="D78" s="138"/>
      <c r="E78" s="138"/>
      <c r="F78" s="139"/>
      <c r="G78" s="139"/>
      <c r="H78" s="135">
        <f t="shared" si="23"/>
        <v>0</v>
      </c>
      <c r="I78" s="137"/>
      <c r="J78" s="137">
        <v>6500</v>
      </c>
      <c r="K78" s="139"/>
      <c r="L78" s="135">
        <f t="shared" ref="L78:L80" si="28">SUM(I78:K78)</f>
        <v>6500</v>
      </c>
      <c r="M78" s="137"/>
      <c r="N78" s="139"/>
      <c r="O78" s="328"/>
      <c r="P78" s="135">
        <f t="shared" ref="P78:P80" si="29">O78+L78+H78</f>
        <v>6500</v>
      </c>
    </row>
    <row r="79" spans="1:16" ht="105" customHeight="1" x14ac:dyDescent="0.25">
      <c r="A79" s="136"/>
      <c r="B79" s="798" t="s">
        <v>994</v>
      </c>
      <c r="C79" s="137"/>
      <c r="D79" s="138"/>
      <c r="E79" s="138"/>
      <c r="F79" s="139"/>
      <c r="G79" s="139"/>
      <c r="H79" s="135">
        <f t="shared" si="23"/>
        <v>0</v>
      </c>
      <c r="I79" s="137"/>
      <c r="J79" s="137">
        <v>1100</v>
      </c>
      <c r="K79" s="139"/>
      <c r="L79" s="135">
        <f t="shared" si="28"/>
        <v>1100</v>
      </c>
      <c r="M79" s="137"/>
      <c r="N79" s="139"/>
      <c r="O79" s="328"/>
      <c r="P79" s="135">
        <f t="shared" si="29"/>
        <v>1100</v>
      </c>
    </row>
    <row r="80" spans="1:16" ht="100.5" customHeight="1" x14ac:dyDescent="0.25">
      <c r="A80" s="136"/>
      <c r="B80" s="798" t="s">
        <v>995</v>
      </c>
      <c r="C80" s="137"/>
      <c r="D80" s="138"/>
      <c r="E80" s="138"/>
      <c r="F80" s="139"/>
      <c r="G80" s="139"/>
      <c r="H80" s="130">
        <f t="shared" si="23"/>
        <v>0</v>
      </c>
      <c r="I80" s="137"/>
      <c r="J80" s="137">
        <v>3200</v>
      </c>
      <c r="K80" s="139"/>
      <c r="L80" s="135">
        <f t="shared" si="28"/>
        <v>3200</v>
      </c>
      <c r="M80" s="137"/>
      <c r="N80" s="139"/>
      <c r="O80" s="328"/>
      <c r="P80" s="130">
        <f t="shared" si="29"/>
        <v>3200</v>
      </c>
    </row>
    <row r="81" spans="1:16" x14ac:dyDescent="0.25">
      <c r="A81" s="136"/>
      <c r="B81" s="524"/>
      <c r="C81" s="137"/>
      <c r="D81" s="138"/>
      <c r="E81" s="138"/>
      <c r="F81" s="138"/>
      <c r="G81" s="788"/>
      <c r="H81" s="130"/>
      <c r="I81" s="137"/>
      <c r="J81" s="137"/>
      <c r="K81" s="139"/>
      <c r="L81" s="135"/>
      <c r="M81" s="137"/>
      <c r="N81" s="139"/>
      <c r="O81" s="328"/>
      <c r="P81" s="130"/>
    </row>
    <row r="82" spans="1:16" x14ac:dyDescent="0.25">
      <c r="A82" s="140"/>
      <c r="B82" s="144" t="s">
        <v>117</v>
      </c>
      <c r="C82" s="137"/>
      <c r="D82" s="138"/>
      <c r="E82" s="138"/>
      <c r="F82" s="138"/>
      <c r="G82" s="148"/>
      <c r="H82" s="130"/>
      <c r="I82" s="137"/>
      <c r="J82" s="137"/>
      <c r="K82" s="139"/>
      <c r="L82" s="135"/>
      <c r="M82" s="137"/>
      <c r="N82" s="139"/>
      <c r="O82" s="328"/>
      <c r="P82" s="130"/>
    </row>
    <row r="83" spans="1:16" ht="31.5" x14ac:dyDescent="0.25">
      <c r="A83" s="140"/>
      <c r="B83" s="525" t="s">
        <v>1007</v>
      </c>
      <c r="C83" s="137"/>
      <c r="D83" s="138"/>
      <c r="E83" s="138"/>
      <c r="F83" s="138"/>
      <c r="G83" s="148"/>
      <c r="H83" s="130"/>
      <c r="I83" s="137"/>
      <c r="J83" s="137"/>
      <c r="K83" s="139"/>
      <c r="L83" s="135"/>
      <c r="M83" s="137"/>
      <c r="N83" s="139"/>
      <c r="O83" s="328"/>
      <c r="P83" s="130"/>
    </row>
    <row r="84" spans="1:16" ht="47.25" x14ac:dyDescent="0.25">
      <c r="A84" s="140"/>
      <c r="B84" s="146" t="s">
        <v>1090</v>
      </c>
      <c r="C84" s="137"/>
      <c r="D84" s="138"/>
      <c r="E84" s="138"/>
      <c r="F84" s="138"/>
      <c r="G84" s="148"/>
      <c r="H84" s="130">
        <f t="shared" ref="H84:H93" si="30">SUM(C84:G84)</f>
        <v>0</v>
      </c>
      <c r="I84" s="137">
        <v>188320</v>
      </c>
      <c r="J84" s="137"/>
      <c r="K84" s="139"/>
      <c r="L84" s="135">
        <f t="shared" ref="L84" si="31">SUM(I84:K84)</f>
        <v>188320</v>
      </c>
      <c r="M84" s="137"/>
      <c r="N84" s="139"/>
      <c r="O84" s="328"/>
      <c r="P84" s="130">
        <f t="shared" ref="P84" si="32">O84+L84+H84</f>
        <v>188320</v>
      </c>
    </row>
    <row r="85" spans="1:16" ht="31.5" x14ac:dyDescent="0.25">
      <c r="A85" s="140"/>
      <c r="B85" s="146" t="s">
        <v>1036</v>
      </c>
      <c r="C85" s="137"/>
      <c r="D85" s="138"/>
      <c r="E85" s="138"/>
      <c r="F85" s="138"/>
      <c r="G85" s="148"/>
      <c r="H85" s="130">
        <f t="shared" si="30"/>
        <v>0</v>
      </c>
      <c r="I85" s="137">
        <v>-203000</v>
      </c>
      <c r="J85" s="137"/>
      <c r="K85" s="139"/>
      <c r="L85" s="135">
        <f t="shared" ref="L85:L89" si="33">SUM(I85:K85)</f>
        <v>-203000</v>
      </c>
      <c r="M85" s="137"/>
      <c r="N85" s="139"/>
      <c r="O85" s="328"/>
      <c r="P85" s="130">
        <f t="shared" ref="P85:P89" si="34">O85+L85+H85</f>
        <v>-203000</v>
      </c>
    </row>
    <row r="86" spans="1:16" x14ac:dyDescent="0.25">
      <c r="A86" s="140"/>
      <c r="B86" s="146" t="s">
        <v>1037</v>
      </c>
      <c r="C86" s="137"/>
      <c r="D86" s="138"/>
      <c r="E86" s="138"/>
      <c r="F86" s="138"/>
      <c r="G86" s="148"/>
      <c r="H86" s="130">
        <f t="shared" si="30"/>
        <v>0</v>
      </c>
      <c r="I86" s="137">
        <v>-17000</v>
      </c>
      <c r="J86" s="137"/>
      <c r="K86" s="139"/>
      <c r="L86" s="135">
        <f t="shared" si="33"/>
        <v>-17000</v>
      </c>
      <c r="M86" s="137"/>
      <c r="N86" s="139"/>
      <c r="O86" s="328"/>
      <c r="P86" s="130">
        <f t="shared" si="34"/>
        <v>-17000</v>
      </c>
    </row>
    <row r="87" spans="1:16" ht="47.25" x14ac:dyDescent="0.25">
      <c r="A87" s="140"/>
      <c r="B87" s="146" t="s">
        <v>1046</v>
      </c>
      <c r="C87" s="137"/>
      <c r="D87" s="138"/>
      <c r="E87" s="138">
        <v>3810</v>
      </c>
      <c r="F87" s="138"/>
      <c r="G87" s="148"/>
      <c r="H87" s="130">
        <f t="shared" si="30"/>
        <v>3810</v>
      </c>
      <c r="I87" s="137">
        <v>218852</v>
      </c>
      <c r="J87" s="137"/>
      <c r="K87" s="139"/>
      <c r="L87" s="135">
        <f t="shared" ref="L87" si="35">SUM(I87:K87)</f>
        <v>218852</v>
      </c>
      <c r="M87" s="137"/>
      <c r="N87" s="139"/>
      <c r="O87" s="328"/>
      <c r="P87" s="130">
        <f t="shared" ref="P87" si="36">O87+L87+H87</f>
        <v>222662</v>
      </c>
    </row>
    <row r="88" spans="1:16" x14ac:dyDescent="0.25">
      <c r="A88" s="140"/>
      <c r="B88" s="146" t="s">
        <v>1038</v>
      </c>
      <c r="C88" s="137"/>
      <c r="D88" s="138"/>
      <c r="E88" s="138"/>
      <c r="F88" s="138"/>
      <c r="G88" s="148"/>
      <c r="H88" s="130">
        <f t="shared" si="30"/>
        <v>0</v>
      </c>
      <c r="I88" s="137">
        <v>-105000</v>
      </c>
      <c r="J88" s="137"/>
      <c r="K88" s="139"/>
      <c r="L88" s="135">
        <f t="shared" si="33"/>
        <v>-105000</v>
      </c>
      <c r="M88" s="137"/>
      <c r="N88" s="139"/>
      <c r="O88" s="328"/>
      <c r="P88" s="130">
        <f t="shared" si="34"/>
        <v>-105000</v>
      </c>
    </row>
    <row r="89" spans="1:16" x14ac:dyDescent="0.25">
      <c r="A89" s="140"/>
      <c r="B89" s="146" t="s">
        <v>1089</v>
      </c>
      <c r="C89" s="137"/>
      <c r="D89" s="138"/>
      <c r="E89" s="138"/>
      <c r="F89" s="138"/>
      <c r="G89" s="148"/>
      <c r="H89" s="130">
        <f t="shared" si="30"/>
        <v>0</v>
      </c>
      <c r="I89" s="137">
        <v>106696</v>
      </c>
      <c r="J89" s="137"/>
      <c r="K89" s="139"/>
      <c r="L89" s="135">
        <f t="shared" si="33"/>
        <v>106696</v>
      </c>
      <c r="M89" s="137"/>
      <c r="N89" s="139"/>
      <c r="O89" s="328"/>
      <c r="P89" s="130">
        <f t="shared" si="34"/>
        <v>106696</v>
      </c>
    </row>
    <row r="90" spans="1:16" x14ac:dyDescent="0.25">
      <c r="A90" s="140"/>
      <c r="B90" s="145" t="s">
        <v>1093</v>
      </c>
      <c r="C90" s="137"/>
      <c r="D90" s="138"/>
      <c r="E90" s="138"/>
      <c r="F90" s="138"/>
      <c r="G90" s="148"/>
      <c r="H90" s="130">
        <f t="shared" si="30"/>
        <v>0</v>
      </c>
      <c r="I90" s="137">
        <v>-165000</v>
      </c>
      <c r="J90" s="137"/>
      <c r="K90" s="139"/>
      <c r="L90" s="135">
        <f t="shared" ref="L90:L91" si="37">SUM(I90:K90)</f>
        <v>-165000</v>
      </c>
      <c r="M90" s="137"/>
      <c r="N90" s="139"/>
      <c r="O90" s="328"/>
      <c r="P90" s="130">
        <f t="shared" ref="P90:P91" si="38">O90+L90+H90</f>
        <v>-165000</v>
      </c>
    </row>
    <row r="91" spans="1:16" x14ac:dyDescent="0.25">
      <c r="A91" s="140"/>
      <c r="B91" s="145" t="s">
        <v>1094</v>
      </c>
      <c r="C91" s="137"/>
      <c r="D91" s="138"/>
      <c r="E91" s="138"/>
      <c r="F91" s="138"/>
      <c r="G91" s="148"/>
      <c r="H91" s="130">
        <f t="shared" si="30"/>
        <v>0</v>
      </c>
      <c r="I91" s="137">
        <v>-200000</v>
      </c>
      <c r="J91" s="137"/>
      <c r="K91" s="139"/>
      <c r="L91" s="135">
        <f t="shared" si="37"/>
        <v>-200000</v>
      </c>
      <c r="M91" s="137"/>
      <c r="N91" s="139"/>
      <c r="O91" s="328"/>
      <c r="P91" s="130">
        <f t="shared" si="38"/>
        <v>-200000</v>
      </c>
    </row>
    <row r="92" spans="1:16" ht="31.5" x14ac:dyDescent="0.25">
      <c r="A92" s="140"/>
      <c r="B92" s="145" t="s">
        <v>1095</v>
      </c>
      <c r="C92" s="137"/>
      <c r="D92" s="138"/>
      <c r="E92" s="138"/>
      <c r="F92" s="138"/>
      <c r="G92" s="148"/>
      <c r="H92" s="130">
        <f t="shared" si="30"/>
        <v>0</v>
      </c>
      <c r="I92" s="751">
        <v>1098000</v>
      </c>
      <c r="J92" s="137"/>
      <c r="K92" s="139"/>
      <c r="L92" s="135">
        <f t="shared" ref="L92" si="39">SUM(I92:K92)</f>
        <v>1098000</v>
      </c>
      <c r="M92" s="137"/>
      <c r="N92" s="139"/>
      <c r="O92" s="328"/>
      <c r="P92" s="130">
        <f t="shared" ref="P92" si="40">O92+L92+H92</f>
        <v>1098000</v>
      </c>
    </row>
    <row r="93" spans="1:16" ht="31.5" x14ac:dyDescent="0.25">
      <c r="A93" s="140"/>
      <c r="B93" s="145" t="s">
        <v>1101</v>
      </c>
      <c r="C93" s="137"/>
      <c r="D93" s="138"/>
      <c r="E93" s="138"/>
      <c r="F93" s="138"/>
      <c r="G93" s="148"/>
      <c r="H93" s="130">
        <f t="shared" si="30"/>
        <v>0</v>
      </c>
      <c r="I93" s="751">
        <v>302353</v>
      </c>
      <c r="J93" s="137"/>
      <c r="K93" s="139"/>
      <c r="L93" s="135">
        <f t="shared" ref="L93" si="41">SUM(I93:K93)</f>
        <v>302353</v>
      </c>
      <c r="M93" s="137"/>
      <c r="N93" s="139"/>
      <c r="O93" s="328"/>
      <c r="P93" s="130">
        <f t="shared" ref="P93" si="42">O93+L93+H93</f>
        <v>302353</v>
      </c>
    </row>
    <row r="94" spans="1:16" x14ac:dyDescent="0.25">
      <c r="A94" s="140"/>
      <c r="B94" s="144"/>
      <c r="C94" s="137"/>
      <c r="D94" s="138"/>
      <c r="E94" s="138"/>
      <c r="F94" s="138"/>
      <c r="G94" s="148"/>
      <c r="H94" s="130"/>
      <c r="I94" s="137"/>
      <c r="J94" s="137"/>
      <c r="K94" s="139"/>
      <c r="L94" s="135"/>
      <c r="M94" s="137"/>
      <c r="N94" s="139"/>
      <c r="O94" s="328"/>
      <c r="P94" s="130"/>
    </row>
    <row r="95" spans="1:16" s="521" customFormat="1" ht="31.5" x14ac:dyDescent="0.25">
      <c r="A95" s="780"/>
      <c r="B95" s="525" t="s">
        <v>946</v>
      </c>
      <c r="C95" s="519"/>
      <c r="D95" s="781"/>
      <c r="E95" s="781"/>
      <c r="F95" s="781"/>
      <c r="G95" s="786"/>
      <c r="H95" s="530"/>
      <c r="I95" s="519"/>
      <c r="J95" s="519"/>
      <c r="K95" s="523"/>
      <c r="L95" s="520"/>
      <c r="M95" s="519"/>
      <c r="N95" s="523"/>
      <c r="O95" s="520"/>
      <c r="P95" s="530"/>
    </row>
    <row r="96" spans="1:16" s="521" customFormat="1" ht="31.5" x14ac:dyDescent="0.25">
      <c r="A96" s="780"/>
      <c r="B96" s="146" t="s">
        <v>948</v>
      </c>
      <c r="C96" s="519"/>
      <c r="D96" s="781"/>
      <c r="E96" s="781"/>
      <c r="F96" s="781"/>
      <c r="G96" s="786"/>
      <c r="H96" s="130">
        <f t="shared" ref="H96:H99" si="43">SUM(C96:G96)</f>
        <v>0</v>
      </c>
      <c r="I96" s="519">
        <v>-6044</v>
      </c>
      <c r="J96" s="519"/>
      <c r="K96" s="523"/>
      <c r="L96" s="135">
        <f t="shared" ref="L96:L98" si="44">SUM(I96:K96)</f>
        <v>-6044</v>
      </c>
      <c r="M96" s="141"/>
      <c r="N96" s="142"/>
      <c r="O96" s="135"/>
      <c r="P96" s="130">
        <f t="shared" ref="P96:P98" si="45">O96+L96+H96</f>
        <v>-6044</v>
      </c>
    </row>
    <row r="97" spans="1:16" s="521" customFormat="1" ht="31.5" x14ac:dyDescent="0.25">
      <c r="A97" s="780"/>
      <c r="B97" s="146" t="s">
        <v>851</v>
      </c>
      <c r="C97" s="519"/>
      <c r="D97" s="781"/>
      <c r="E97" s="781"/>
      <c r="F97" s="781"/>
      <c r="G97" s="786"/>
      <c r="H97" s="135">
        <f t="shared" si="43"/>
        <v>0</v>
      </c>
      <c r="I97" s="519">
        <v>1643</v>
      </c>
      <c r="J97" s="519"/>
      <c r="K97" s="523"/>
      <c r="L97" s="135">
        <f t="shared" si="44"/>
        <v>1643</v>
      </c>
      <c r="M97" s="141"/>
      <c r="N97" s="142"/>
      <c r="O97" s="135"/>
      <c r="P97" s="135">
        <f t="shared" si="45"/>
        <v>1643</v>
      </c>
    </row>
    <row r="98" spans="1:16" s="521" customFormat="1" ht="31.5" x14ac:dyDescent="0.25">
      <c r="A98" s="780"/>
      <c r="B98" s="146" t="s">
        <v>947</v>
      </c>
      <c r="C98" s="519"/>
      <c r="D98" s="781"/>
      <c r="E98" s="781"/>
      <c r="F98" s="781"/>
      <c r="G98" s="786"/>
      <c r="H98" s="135">
        <f t="shared" si="43"/>
        <v>0</v>
      </c>
      <c r="I98" s="519">
        <v>4401</v>
      </c>
      <c r="J98" s="519"/>
      <c r="K98" s="523"/>
      <c r="L98" s="135">
        <f t="shared" si="44"/>
        <v>4401</v>
      </c>
      <c r="M98" s="141"/>
      <c r="N98" s="142"/>
      <c r="O98" s="135"/>
      <c r="P98" s="135">
        <f t="shared" si="45"/>
        <v>4401</v>
      </c>
    </row>
    <row r="99" spans="1:16" s="521" customFormat="1" ht="63" x14ac:dyDescent="0.25">
      <c r="A99" s="780"/>
      <c r="B99" s="146" t="s">
        <v>950</v>
      </c>
      <c r="C99" s="519"/>
      <c r="D99" s="781"/>
      <c r="E99" s="781"/>
      <c r="F99" s="781"/>
      <c r="G99" s="786"/>
      <c r="H99" s="130">
        <f t="shared" si="43"/>
        <v>0</v>
      </c>
      <c r="I99" s="519"/>
      <c r="J99" s="519">
        <v>15000</v>
      </c>
      <c r="K99" s="523"/>
      <c r="L99" s="135">
        <f t="shared" ref="L99" si="46">SUM(I99:K99)</f>
        <v>15000</v>
      </c>
      <c r="M99" s="141"/>
      <c r="N99" s="142"/>
      <c r="O99" s="135"/>
      <c r="P99" s="130">
        <f t="shared" ref="P99" si="47">O99+L99+H99</f>
        <v>15000</v>
      </c>
    </row>
    <row r="100" spans="1:16" s="521" customFormat="1" x14ac:dyDescent="0.25">
      <c r="A100" s="780"/>
      <c r="B100" s="146"/>
      <c r="C100" s="519"/>
      <c r="D100" s="781"/>
      <c r="E100" s="781"/>
      <c r="F100" s="781"/>
      <c r="G100" s="786"/>
      <c r="H100" s="530"/>
      <c r="I100" s="519"/>
      <c r="J100" s="519"/>
      <c r="K100" s="523"/>
      <c r="L100" s="520"/>
      <c r="M100" s="519"/>
      <c r="N100" s="523"/>
      <c r="O100" s="520"/>
      <c r="P100" s="530"/>
    </row>
    <row r="101" spans="1:16" x14ac:dyDescent="0.25">
      <c r="A101" s="140"/>
      <c r="B101" s="522" t="s">
        <v>729</v>
      </c>
      <c r="C101" s="137"/>
      <c r="D101" s="138"/>
      <c r="E101" s="138"/>
      <c r="F101" s="138"/>
      <c r="G101" s="148"/>
      <c r="H101" s="130"/>
      <c r="I101" s="137"/>
      <c r="J101" s="137"/>
      <c r="K101" s="139"/>
      <c r="L101" s="135"/>
      <c r="M101" s="137"/>
      <c r="N101" s="139"/>
      <c r="O101" s="328"/>
      <c r="P101" s="130"/>
    </row>
    <row r="102" spans="1:16" ht="63" x14ac:dyDescent="0.25">
      <c r="A102" s="140"/>
      <c r="B102" s="750" t="s">
        <v>1044</v>
      </c>
      <c r="C102" s="137"/>
      <c r="D102" s="138"/>
      <c r="E102" s="138">
        <v>5970</v>
      </c>
      <c r="F102" s="138"/>
      <c r="G102" s="148"/>
      <c r="H102" s="752">
        <f t="shared" ref="H102:H105" si="48">SUM(C102:G102)</f>
        <v>5970</v>
      </c>
      <c r="I102" s="137">
        <v>-5970</v>
      </c>
      <c r="J102" s="137"/>
      <c r="K102" s="139"/>
      <c r="L102" s="754">
        <f t="shared" ref="L102:L103" si="49">SUM(I102:K102)</f>
        <v>-5970</v>
      </c>
      <c r="M102" s="766"/>
      <c r="N102" s="767"/>
      <c r="O102" s="768"/>
      <c r="P102" s="752">
        <f t="shared" ref="P102:P103" si="50">O102+L102+H102</f>
        <v>0</v>
      </c>
    </row>
    <row r="103" spans="1:16" x14ac:dyDescent="0.25">
      <c r="A103" s="140"/>
      <c r="B103" s="750" t="s">
        <v>1045</v>
      </c>
      <c r="C103" s="137"/>
      <c r="D103" s="138"/>
      <c r="E103" s="138">
        <v>-1063</v>
      </c>
      <c r="F103" s="138"/>
      <c r="G103" s="148"/>
      <c r="H103" s="752">
        <f t="shared" si="48"/>
        <v>-1063</v>
      </c>
      <c r="I103" s="137"/>
      <c r="J103" s="137"/>
      <c r="K103" s="139">
        <v>1063</v>
      </c>
      <c r="L103" s="754">
        <f t="shared" si="49"/>
        <v>1063</v>
      </c>
      <c r="M103" s="766"/>
      <c r="N103" s="767"/>
      <c r="O103" s="768"/>
      <c r="P103" s="752">
        <f t="shared" si="50"/>
        <v>0</v>
      </c>
    </row>
    <row r="104" spans="1:16" ht="47.25" x14ac:dyDescent="0.25">
      <c r="A104" s="140"/>
      <c r="B104" s="750" t="s">
        <v>1087</v>
      </c>
      <c r="C104" s="137"/>
      <c r="D104" s="138"/>
      <c r="E104" s="138"/>
      <c r="F104" s="138"/>
      <c r="G104" s="788"/>
      <c r="H104" s="752">
        <f t="shared" si="48"/>
        <v>0</v>
      </c>
      <c r="I104" s="137">
        <v>-518000</v>
      </c>
      <c r="J104" s="137"/>
      <c r="K104" s="139"/>
      <c r="L104" s="754">
        <f t="shared" ref="L104:L105" si="51">SUM(I104:K104)</f>
        <v>-518000</v>
      </c>
      <c r="M104" s="766"/>
      <c r="N104" s="767"/>
      <c r="O104" s="768"/>
      <c r="P104" s="752">
        <f t="shared" ref="P104:P105" si="52">O104+L104+H104</f>
        <v>-518000</v>
      </c>
    </row>
    <row r="105" spans="1:16" x14ac:dyDescent="0.25">
      <c r="A105" s="140"/>
      <c r="B105" s="750" t="s">
        <v>1088</v>
      </c>
      <c r="C105" s="137"/>
      <c r="D105" s="138"/>
      <c r="E105" s="138"/>
      <c r="F105" s="138"/>
      <c r="G105" s="788"/>
      <c r="H105" s="752">
        <f t="shared" si="48"/>
        <v>0</v>
      </c>
      <c r="I105" s="137">
        <v>518000</v>
      </c>
      <c r="J105" s="137"/>
      <c r="K105" s="139"/>
      <c r="L105" s="754">
        <f t="shared" si="51"/>
        <v>518000</v>
      </c>
      <c r="M105" s="766"/>
      <c r="N105" s="767"/>
      <c r="O105" s="768"/>
      <c r="P105" s="752">
        <f t="shared" si="52"/>
        <v>518000</v>
      </c>
    </row>
    <row r="106" spans="1:16" x14ac:dyDescent="0.25">
      <c r="A106" s="140"/>
      <c r="B106" s="750"/>
      <c r="C106" s="137"/>
      <c r="D106" s="138"/>
      <c r="E106" s="138"/>
      <c r="F106" s="138"/>
      <c r="G106" s="788"/>
      <c r="H106" s="752"/>
      <c r="I106" s="137"/>
      <c r="J106" s="137"/>
      <c r="K106" s="139"/>
      <c r="L106" s="754"/>
      <c r="M106" s="766"/>
      <c r="N106" s="767"/>
      <c r="O106" s="768"/>
      <c r="P106" s="752"/>
    </row>
    <row r="107" spans="1:16" ht="31.5" x14ac:dyDescent="0.25">
      <c r="A107" s="140"/>
      <c r="B107" s="522" t="s">
        <v>645</v>
      </c>
      <c r="C107" s="137"/>
      <c r="D107" s="138"/>
      <c r="E107" s="138"/>
      <c r="F107" s="138"/>
      <c r="G107" s="788"/>
      <c r="H107" s="752"/>
      <c r="I107" s="137"/>
      <c r="J107" s="137"/>
      <c r="K107" s="139"/>
      <c r="L107" s="754"/>
      <c r="M107" s="766"/>
      <c r="N107" s="767"/>
      <c r="O107" s="768"/>
      <c r="P107" s="752"/>
    </row>
    <row r="108" spans="1:16" ht="31.5" x14ac:dyDescent="0.25">
      <c r="A108" s="136"/>
      <c r="B108" s="524" t="s">
        <v>1104</v>
      </c>
      <c r="C108" s="137"/>
      <c r="D108" s="138"/>
      <c r="E108" s="138"/>
      <c r="F108" s="139"/>
      <c r="G108" s="139"/>
      <c r="H108" s="135">
        <f t="shared" ref="H108" si="53">SUM(C108:G108)</f>
        <v>0</v>
      </c>
      <c r="I108" s="137">
        <v>1942</v>
      </c>
      <c r="J108" s="137"/>
      <c r="K108" s="139"/>
      <c r="L108" s="135">
        <f t="shared" ref="L108" si="54">SUM(I108:K108)</f>
        <v>1942</v>
      </c>
      <c r="M108" s="137"/>
      <c r="N108" s="139"/>
      <c r="O108" s="328"/>
      <c r="P108" s="130">
        <f t="shared" ref="P108" si="55">O108+L108+H108</f>
        <v>1942</v>
      </c>
    </row>
    <row r="109" spans="1:16" x14ac:dyDescent="0.25">
      <c r="A109" s="136"/>
      <c r="B109" s="524"/>
      <c r="C109" s="137"/>
      <c r="D109" s="138"/>
      <c r="E109" s="138"/>
      <c r="F109" s="139"/>
      <c r="G109" s="139"/>
      <c r="H109" s="130"/>
      <c r="I109" s="137"/>
      <c r="J109" s="137"/>
      <c r="K109" s="139"/>
      <c r="L109" s="135"/>
      <c r="M109" s="137"/>
      <c r="N109" s="139"/>
      <c r="O109" s="328"/>
      <c r="P109" s="130"/>
    </row>
    <row r="110" spans="1:16" ht="31.5" x14ac:dyDescent="0.25">
      <c r="A110" s="136"/>
      <c r="B110" s="531" t="s">
        <v>646</v>
      </c>
      <c r="C110" s="137"/>
      <c r="D110" s="138"/>
      <c r="E110" s="138"/>
      <c r="F110" s="139"/>
      <c r="G110" s="139"/>
      <c r="H110" s="130"/>
      <c r="I110" s="137"/>
      <c r="J110" s="137"/>
      <c r="K110" s="139"/>
      <c r="L110" s="135"/>
      <c r="M110" s="137"/>
      <c r="N110" s="139"/>
      <c r="O110" s="328"/>
      <c r="P110" s="130"/>
    </row>
    <row r="111" spans="1:16" ht="56.25" customHeight="1" x14ac:dyDescent="0.25">
      <c r="A111" s="136"/>
      <c r="B111" s="798" t="s">
        <v>953</v>
      </c>
      <c r="C111" s="137"/>
      <c r="D111" s="138"/>
      <c r="E111" s="138"/>
      <c r="F111" s="139"/>
      <c r="G111" s="139"/>
      <c r="H111" s="130">
        <f t="shared" ref="H111:H114" si="56">SUM(C111:G111)</f>
        <v>0</v>
      </c>
      <c r="I111" s="137"/>
      <c r="J111" s="137"/>
      <c r="K111" s="139">
        <v>7200</v>
      </c>
      <c r="L111" s="135">
        <f t="shared" ref="L111" si="57">SUM(I111:K111)</f>
        <v>7200</v>
      </c>
      <c r="M111" s="137"/>
      <c r="N111" s="139"/>
      <c r="O111" s="328"/>
      <c r="P111" s="130">
        <f t="shared" ref="P111" si="58">O111+L111+H111</f>
        <v>7200</v>
      </c>
    </row>
    <row r="112" spans="1:16" ht="47.25" x14ac:dyDescent="0.25">
      <c r="A112" s="136"/>
      <c r="B112" s="798" t="s">
        <v>965</v>
      </c>
      <c r="C112" s="137"/>
      <c r="D112" s="138"/>
      <c r="E112" s="138"/>
      <c r="F112" s="139"/>
      <c r="G112" s="139"/>
      <c r="H112" s="130">
        <f t="shared" si="56"/>
        <v>0</v>
      </c>
      <c r="I112" s="137">
        <v>12986</v>
      </c>
      <c r="J112" s="137"/>
      <c r="K112" s="139"/>
      <c r="L112" s="135">
        <f t="shared" ref="L112" si="59">SUM(I112:K112)</f>
        <v>12986</v>
      </c>
      <c r="M112" s="137"/>
      <c r="N112" s="139"/>
      <c r="O112" s="328"/>
      <c r="P112" s="130">
        <f t="shared" ref="P112" si="60">O112+L112+H112</f>
        <v>12986</v>
      </c>
    </row>
    <row r="113" spans="1:16" x14ac:dyDescent="0.25">
      <c r="A113" s="136"/>
      <c r="B113" s="798" t="s">
        <v>968</v>
      </c>
      <c r="C113" s="137"/>
      <c r="D113" s="138"/>
      <c r="E113" s="138"/>
      <c r="F113" s="139"/>
      <c r="G113" s="139"/>
      <c r="H113" s="130">
        <f t="shared" si="56"/>
        <v>0</v>
      </c>
      <c r="I113" s="137">
        <v>3600</v>
      </c>
      <c r="J113" s="137"/>
      <c r="K113" s="139"/>
      <c r="L113" s="135">
        <f t="shared" ref="L113" si="61">SUM(I113:K113)</f>
        <v>3600</v>
      </c>
      <c r="M113" s="137"/>
      <c r="N113" s="139"/>
      <c r="O113" s="328"/>
      <c r="P113" s="130">
        <f t="shared" ref="P113" si="62">O113+L113+H113</f>
        <v>3600</v>
      </c>
    </row>
    <row r="114" spans="1:16" ht="63" x14ac:dyDescent="0.25">
      <c r="A114" s="136"/>
      <c r="B114" s="798" t="s">
        <v>986</v>
      </c>
      <c r="C114" s="137"/>
      <c r="D114" s="138"/>
      <c r="E114" s="138"/>
      <c r="F114" s="139"/>
      <c r="G114" s="139"/>
      <c r="H114" s="130">
        <f t="shared" si="56"/>
        <v>0</v>
      </c>
      <c r="I114" s="137">
        <v>2500</v>
      </c>
      <c r="J114" s="137"/>
      <c r="K114" s="139"/>
      <c r="L114" s="135">
        <f t="shared" ref="L114" si="63">SUM(I114:K114)</f>
        <v>2500</v>
      </c>
      <c r="M114" s="137"/>
      <c r="N114" s="139"/>
      <c r="O114" s="328"/>
      <c r="P114" s="130">
        <f t="shared" ref="P114" si="64">O114+L114+H114</f>
        <v>2500</v>
      </c>
    </row>
    <row r="115" spans="1:16" x14ac:dyDescent="0.25">
      <c r="A115" s="136"/>
      <c r="B115" s="524"/>
      <c r="C115" s="137"/>
      <c r="D115" s="138"/>
      <c r="E115" s="138"/>
      <c r="F115" s="138"/>
      <c r="G115" s="788"/>
      <c r="H115" s="130"/>
      <c r="I115" s="137"/>
      <c r="J115" s="137"/>
      <c r="K115" s="139"/>
      <c r="L115" s="135"/>
      <c r="M115" s="137"/>
      <c r="N115" s="139"/>
      <c r="O115" s="328"/>
      <c r="P115" s="130"/>
    </row>
    <row r="116" spans="1:16" ht="31.5" x14ac:dyDescent="0.25">
      <c r="A116" s="136"/>
      <c r="B116" s="531" t="s">
        <v>1096</v>
      </c>
      <c r="C116" s="137"/>
      <c r="D116" s="138"/>
      <c r="E116" s="138"/>
      <c r="F116" s="139"/>
      <c r="G116" s="139"/>
      <c r="H116" s="130"/>
      <c r="I116" s="137"/>
      <c r="J116" s="137"/>
      <c r="K116" s="139"/>
      <c r="L116" s="135"/>
      <c r="M116" s="137"/>
      <c r="N116" s="139"/>
      <c r="O116" s="328"/>
      <c r="P116" s="130"/>
    </row>
    <row r="117" spans="1:16" ht="31.5" x14ac:dyDescent="0.25">
      <c r="A117" s="136"/>
      <c r="B117" s="798" t="s">
        <v>1097</v>
      </c>
      <c r="C117" s="137"/>
      <c r="D117" s="138"/>
      <c r="E117" s="138"/>
      <c r="F117" s="139"/>
      <c r="G117" s="139"/>
      <c r="H117" s="135">
        <f t="shared" ref="H117" si="65">SUM(C117:G117)</f>
        <v>0</v>
      </c>
      <c r="I117" s="137">
        <v>-600000</v>
      </c>
      <c r="J117" s="137"/>
      <c r="K117" s="139"/>
      <c r="L117" s="135">
        <f t="shared" ref="L117" si="66">SUM(I117:K117)</f>
        <v>-600000</v>
      </c>
      <c r="M117" s="137"/>
      <c r="N117" s="139"/>
      <c r="O117" s="328"/>
      <c r="P117" s="135">
        <f t="shared" ref="P117" si="67">O117+L117+H117</f>
        <v>-600000</v>
      </c>
    </row>
    <row r="118" spans="1:16" x14ac:dyDescent="0.25">
      <c r="A118" s="136"/>
      <c r="B118" s="798"/>
      <c r="C118" s="137"/>
      <c r="D118" s="138"/>
      <c r="E118" s="138"/>
      <c r="F118" s="139"/>
      <c r="G118" s="139"/>
      <c r="H118" s="135"/>
      <c r="I118" s="137"/>
      <c r="J118" s="137"/>
      <c r="K118" s="139"/>
      <c r="L118" s="135"/>
      <c r="M118" s="137"/>
      <c r="N118" s="139"/>
      <c r="O118" s="328"/>
      <c r="P118" s="135"/>
    </row>
    <row r="119" spans="1:16" x14ac:dyDescent="0.25">
      <c r="A119" s="136"/>
      <c r="B119" s="757" t="s">
        <v>48</v>
      </c>
      <c r="C119" s="137"/>
      <c r="D119" s="138"/>
      <c r="E119" s="138"/>
      <c r="F119" s="139"/>
      <c r="G119" s="139"/>
      <c r="H119" s="130"/>
      <c r="I119" s="137"/>
      <c r="J119" s="137"/>
      <c r="K119" s="139"/>
      <c r="L119" s="135"/>
      <c r="M119" s="137"/>
      <c r="N119" s="139"/>
      <c r="O119" s="328"/>
      <c r="P119" s="130"/>
    </row>
    <row r="120" spans="1:16" x14ac:dyDescent="0.25">
      <c r="A120" s="136"/>
      <c r="B120" s="531" t="s">
        <v>822</v>
      </c>
      <c r="C120" s="137"/>
      <c r="D120" s="138"/>
      <c r="E120" s="138">
        <v>1586</v>
      </c>
      <c r="F120" s="139"/>
      <c r="G120" s="139"/>
      <c r="H120" s="130">
        <f t="shared" ref="H120" si="68">SUM(C120:G120)</f>
        <v>1586</v>
      </c>
      <c r="I120" s="137"/>
      <c r="J120" s="137"/>
      <c r="K120" s="139"/>
      <c r="L120" s="135">
        <f t="shared" ref="L120" si="69">SUM(I120:K120)</f>
        <v>0</v>
      </c>
      <c r="M120" s="137"/>
      <c r="N120" s="139"/>
      <c r="O120" s="328"/>
      <c r="P120" s="130">
        <f t="shared" ref="P120" si="70">O120+L120+H120</f>
        <v>1586</v>
      </c>
    </row>
    <row r="121" spans="1:16" x14ac:dyDescent="0.25">
      <c r="A121" s="136"/>
      <c r="B121" s="524"/>
      <c r="C121" s="137"/>
      <c r="D121" s="138"/>
      <c r="E121" s="138"/>
      <c r="F121" s="139"/>
      <c r="G121" s="139"/>
      <c r="H121" s="130"/>
      <c r="I121" s="137"/>
      <c r="J121" s="137"/>
      <c r="K121" s="139"/>
      <c r="L121" s="135"/>
      <c r="M121" s="137"/>
      <c r="N121" s="139"/>
      <c r="O121" s="328"/>
      <c r="P121" s="130"/>
    </row>
    <row r="122" spans="1:16" ht="31.5" x14ac:dyDescent="0.25">
      <c r="A122" s="136"/>
      <c r="B122" s="757" t="s">
        <v>144</v>
      </c>
      <c r="C122" s="137"/>
      <c r="D122" s="138"/>
      <c r="E122" s="138"/>
      <c r="F122" s="139"/>
      <c r="G122" s="139"/>
      <c r="H122" s="130"/>
      <c r="I122" s="137"/>
      <c r="J122" s="137"/>
      <c r="K122" s="139"/>
      <c r="L122" s="135"/>
      <c r="M122" s="137"/>
      <c r="N122" s="139"/>
      <c r="O122" s="328"/>
      <c r="P122" s="130"/>
    </row>
    <row r="123" spans="1:16" ht="31.5" x14ac:dyDescent="0.25">
      <c r="A123" s="136"/>
      <c r="B123" s="531" t="s">
        <v>645</v>
      </c>
      <c r="C123" s="137"/>
      <c r="D123" s="138"/>
      <c r="E123" s="138"/>
      <c r="F123" s="139"/>
      <c r="G123" s="139"/>
      <c r="H123" s="130"/>
      <c r="I123" s="137"/>
      <c r="J123" s="137"/>
      <c r="K123" s="139"/>
      <c r="L123" s="135"/>
      <c r="M123" s="137"/>
      <c r="N123" s="139"/>
      <c r="O123" s="328"/>
      <c r="P123" s="130"/>
    </row>
    <row r="124" spans="1:16" ht="31.5" x14ac:dyDescent="0.25">
      <c r="A124" s="136"/>
      <c r="B124" s="798" t="s">
        <v>984</v>
      </c>
      <c r="C124" s="137"/>
      <c r="D124" s="138"/>
      <c r="E124" s="138">
        <v>18450</v>
      </c>
      <c r="F124" s="139"/>
      <c r="G124" s="139"/>
      <c r="H124" s="130">
        <f t="shared" ref="H124" si="71">SUM(C124:G124)</f>
        <v>18450</v>
      </c>
      <c r="I124" s="137"/>
      <c r="J124" s="137"/>
      <c r="K124" s="139"/>
      <c r="L124" s="135">
        <f t="shared" ref="L124" si="72">SUM(I124:K124)</f>
        <v>0</v>
      </c>
      <c r="M124" s="137"/>
      <c r="N124" s="139"/>
      <c r="O124" s="328"/>
      <c r="P124" s="130">
        <f t="shared" ref="P124" si="73">O124+L124+H124</f>
        <v>18450</v>
      </c>
    </row>
    <row r="125" spans="1:16" x14ac:dyDescent="0.25">
      <c r="A125" s="136"/>
      <c r="B125" s="524"/>
      <c r="C125" s="137"/>
      <c r="D125" s="138"/>
      <c r="E125" s="138"/>
      <c r="F125" s="138"/>
      <c r="G125" s="788"/>
      <c r="H125" s="130"/>
      <c r="I125" s="137"/>
      <c r="J125" s="137"/>
      <c r="K125" s="139"/>
      <c r="L125" s="135"/>
      <c r="M125" s="137"/>
      <c r="N125" s="139"/>
      <c r="O125" s="328"/>
      <c r="P125" s="130"/>
    </row>
    <row r="126" spans="1:16" x14ac:dyDescent="0.25">
      <c r="A126" s="140" t="s">
        <v>118</v>
      </c>
      <c r="B126" s="757" t="s">
        <v>841</v>
      </c>
      <c r="C126" s="137"/>
      <c r="D126" s="138"/>
      <c r="E126" s="138"/>
      <c r="F126" s="138"/>
      <c r="G126" s="788"/>
      <c r="H126" s="130"/>
      <c r="I126" s="137"/>
      <c r="J126" s="137"/>
      <c r="K126" s="139"/>
      <c r="L126" s="135"/>
      <c r="M126" s="137"/>
      <c r="N126" s="139"/>
      <c r="O126" s="328"/>
      <c r="P126" s="130"/>
    </row>
    <row r="127" spans="1:16" x14ac:dyDescent="0.25">
      <c r="A127" s="136"/>
      <c r="B127" s="757" t="s">
        <v>119</v>
      </c>
      <c r="C127" s="137"/>
      <c r="D127" s="138"/>
      <c r="E127" s="138"/>
      <c r="F127" s="138"/>
      <c r="G127" s="788"/>
      <c r="H127" s="130"/>
      <c r="I127" s="137"/>
      <c r="J127" s="137"/>
      <c r="K127" s="139"/>
      <c r="L127" s="135"/>
      <c r="M127" s="137"/>
      <c r="N127" s="139"/>
      <c r="O127" s="328"/>
      <c r="P127" s="130"/>
    </row>
    <row r="128" spans="1:16" ht="31.5" x14ac:dyDescent="0.25">
      <c r="A128" s="136"/>
      <c r="B128" s="531" t="s">
        <v>646</v>
      </c>
      <c r="C128" s="137"/>
      <c r="D128" s="138"/>
      <c r="E128" s="138"/>
      <c r="F128" s="138"/>
      <c r="G128" s="788"/>
      <c r="H128" s="130"/>
      <c r="I128" s="137"/>
      <c r="J128" s="137"/>
      <c r="K128" s="139"/>
      <c r="L128" s="135"/>
      <c r="M128" s="137"/>
      <c r="N128" s="139"/>
      <c r="O128" s="328"/>
      <c r="P128" s="130"/>
    </row>
    <row r="129" spans="1:16" ht="31.5" x14ac:dyDescent="0.25">
      <c r="A129" s="136"/>
      <c r="B129" s="524" t="s">
        <v>1050</v>
      </c>
      <c r="C129" s="137"/>
      <c r="D129" s="138"/>
      <c r="E129" s="138">
        <v>561</v>
      </c>
      <c r="F129" s="138"/>
      <c r="G129" s="788"/>
      <c r="H129" s="130">
        <f t="shared" ref="H129:H130" si="74">SUM(C129:G129)</f>
        <v>561</v>
      </c>
      <c r="I129" s="137"/>
      <c r="J129" s="137"/>
      <c r="K129" s="139"/>
      <c r="L129" s="135">
        <f t="shared" ref="L129" si="75">SUM(I129:K129)</f>
        <v>0</v>
      </c>
      <c r="M129" s="137"/>
      <c r="N129" s="139"/>
      <c r="O129" s="328"/>
      <c r="P129" s="130">
        <f t="shared" ref="P129" si="76">O129+L129+H129</f>
        <v>561</v>
      </c>
    </row>
    <row r="130" spans="1:16" ht="31.5" x14ac:dyDescent="0.25">
      <c r="A130" s="136"/>
      <c r="B130" s="798" t="s">
        <v>1003</v>
      </c>
      <c r="C130" s="137"/>
      <c r="D130" s="138"/>
      <c r="E130" s="138"/>
      <c r="F130" s="138"/>
      <c r="G130" s="788"/>
      <c r="H130" s="130">
        <f t="shared" si="74"/>
        <v>0</v>
      </c>
      <c r="I130" s="137">
        <v>187000</v>
      </c>
      <c r="J130" s="137"/>
      <c r="K130" s="139"/>
      <c r="L130" s="135">
        <f t="shared" ref="L130" si="77">SUM(I130:K130)</f>
        <v>187000</v>
      </c>
      <c r="M130" s="137"/>
      <c r="N130" s="139"/>
      <c r="O130" s="328"/>
      <c r="P130" s="130">
        <f t="shared" ref="P130" si="78">O130+L130+H130</f>
        <v>187000</v>
      </c>
    </row>
    <row r="131" spans="1:16" s="521" customFormat="1" ht="47.25" x14ac:dyDescent="0.25">
      <c r="A131" s="780"/>
      <c r="B131" s="769" t="s">
        <v>1002</v>
      </c>
      <c r="C131" s="519"/>
      <c r="D131" s="519"/>
      <c r="E131" s="519">
        <v>5000</v>
      </c>
      <c r="F131" s="519"/>
      <c r="G131" s="786"/>
      <c r="H131" s="752">
        <f>SUM(C131:G131)</f>
        <v>5000</v>
      </c>
      <c r="I131" s="766"/>
      <c r="J131" s="766"/>
      <c r="K131" s="767"/>
      <c r="L131" s="754">
        <f>SUM(I131:K131)</f>
        <v>0</v>
      </c>
      <c r="M131" s="766"/>
      <c r="N131" s="767"/>
      <c r="O131" s="768"/>
      <c r="P131" s="752">
        <f>O131+L131+H131</f>
        <v>5000</v>
      </c>
    </row>
    <row r="132" spans="1:16" s="521" customFormat="1" x14ac:dyDescent="0.25">
      <c r="A132" s="780"/>
      <c r="B132" s="769"/>
      <c r="C132" s="519"/>
      <c r="D132" s="519"/>
      <c r="E132" s="519"/>
      <c r="F132" s="519"/>
      <c r="G132" s="786"/>
      <c r="H132" s="752"/>
      <c r="I132" s="766"/>
      <c r="J132" s="766"/>
      <c r="K132" s="789"/>
      <c r="L132" s="754"/>
      <c r="M132" s="766"/>
      <c r="N132" s="789"/>
      <c r="O132" s="768"/>
      <c r="P132" s="752"/>
    </row>
    <row r="133" spans="1:16" ht="31.5" x14ac:dyDescent="0.25">
      <c r="A133" s="136"/>
      <c r="B133" s="531" t="s">
        <v>1006</v>
      </c>
      <c r="C133" s="137"/>
      <c r="D133" s="138"/>
      <c r="E133" s="138"/>
      <c r="F133" s="138"/>
      <c r="G133" s="788"/>
      <c r="H133" s="130"/>
      <c r="I133" s="137"/>
      <c r="J133" s="137"/>
      <c r="K133" s="139"/>
      <c r="L133" s="135"/>
      <c r="M133" s="137"/>
      <c r="N133" s="139"/>
      <c r="O133" s="328"/>
      <c r="P133" s="130"/>
    </row>
    <row r="134" spans="1:16" ht="66.75" customHeight="1" x14ac:dyDescent="0.25">
      <c r="A134" s="136"/>
      <c r="B134" s="524" t="s">
        <v>852</v>
      </c>
      <c r="C134" s="137"/>
      <c r="D134" s="138"/>
      <c r="E134" s="147"/>
      <c r="F134" s="147"/>
      <c r="G134" s="795"/>
      <c r="H134" s="752">
        <f t="shared" ref="H134" si="79">SUM(C134:G134)</f>
        <v>0</v>
      </c>
      <c r="I134" s="751"/>
      <c r="J134" s="751">
        <v>-63500</v>
      </c>
      <c r="K134" s="139"/>
      <c r="L134" s="135">
        <f t="shared" ref="L134" si="80">SUM(I134:K134)</f>
        <v>-63500</v>
      </c>
      <c r="M134" s="137"/>
      <c r="N134" s="139"/>
      <c r="O134" s="328"/>
      <c r="P134" s="130">
        <f t="shared" ref="P134" si="81">O134+L134+H134</f>
        <v>-63500</v>
      </c>
    </row>
    <row r="135" spans="1:16" x14ac:dyDescent="0.25">
      <c r="A135" s="136"/>
      <c r="B135" s="524"/>
      <c r="C135" s="137"/>
      <c r="D135" s="138"/>
      <c r="E135" s="138"/>
      <c r="F135" s="138"/>
      <c r="G135" s="788"/>
      <c r="H135" s="130"/>
      <c r="I135" s="137"/>
      <c r="J135" s="137"/>
      <c r="K135" s="139"/>
      <c r="L135" s="135"/>
      <c r="M135" s="137"/>
      <c r="N135" s="139"/>
      <c r="O135" s="328"/>
      <c r="P135" s="130"/>
    </row>
    <row r="136" spans="1:16" x14ac:dyDescent="0.25">
      <c r="A136" s="140" t="s">
        <v>120</v>
      </c>
      <c r="B136" s="757" t="s">
        <v>842</v>
      </c>
      <c r="C136" s="137"/>
      <c r="D136" s="138"/>
      <c r="E136" s="138"/>
      <c r="F136" s="138"/>
      <c r="G136" s="788"/>
      <c r="H136" s="130"/>
      <c r="I136" s="137"/>
      <c r="J136" s="137"/>
      <c r="K136" s="139"/>
      <c r="L136" s="135"/>
      <c r="M136" s="137"/>
      <c r="N136" s="139"/>
      <c r="O136" s="328"/>
      <c r="P136" s="130"/>
    </row>
    <row r="137" spans="1:16" x14ac:dyDescent="0.25">
      <c r="A137" s="140"/>
      <c r="B137" s="757" t="s">
        <v>121</v>
      </c>
      <c r="C137" s="137"/>
      <c r="D137" s="138"/>
      <c r="E137" s="138"/>
      <c r="F137" s="138"/>
      <c r="G137" s="788"/>
      <c r="H137" s="130"/>
      <c r="I137" s="137"/>
      <c r="J137" s="137"/>
      <c r="K137" s="139"/>
      <c r="L137" s="135"/>
      <c r="M137" s="137"/>
      <c r="N137" s="139"/>
      <c r="O137" s="328"/>
      <c r="P137" s="130"/>
    </row>
    <row r="138" spans="1:16" ht="31.5" x14ac:dyDescent="0.25">
      <c r="A138" s="140"/>
      <c r="B138" s="531" t="s">
        <v>646</v>
      </c>
      <c r="C138" s="137"/>
      <c r="D138" s="138"/>
      <c r="E138" s="138"/>
      <c r="F138" s="138"/>
      <c r="G138" s="788"/>
      <c r="H138" s="130"/>
      <c r="I138" s="137"/>
      <c r="J138" s="137"/>
      <c r="K138" s="139"/>
      <c r="L138" s="135"/>
      <c r="M138" s="137"/>
      <c r="N138" s="139"/>
      <c r="O138" s="328"/>
      <c r="P138" s="130"/>
    </row>
    <row r="139" spans="1:16" x14ac:dyDescent="0.25">
      <c r="A139" s="140"/>
      <c r="B139" s="524" t="s">
        <v>1079</v>
      </c>
      <c r="C139" s="519"/>
      <c r="D139" s="781"/>
      <c r="E139" s="781"/>
      <c r="F139" s="781"/>
      <c r="G139" s="907">
        <v>11985</v>
      </c>
      <c r="H139" s="130">
        <f t="shared" ref="H139:H142" si="82">SUM(C139:G139)</f>
        <v>11985</v>
      </c>
      <c r="I139" s="137"/>
      <c r="J139" s="137"/>
      <c r="K139" s="139"/>
      <c r="L139" s="135">
        <f t="shared" ref="L139:L142" si="83">SUM(I139:K139)</f>
        <v>0</v>
      </c>
      <c r="M139" s="137"/>
      <c r="N139" s="139"/>
      <c r="O139" s="328"/>
      <c r="P139" s="130">
        <f t="shared" ref="P139:P142" si="84">O139+L139+H139</f>
        <v>11985</v>
      </c>
    </row>
    <row r="140" spans="1:16" x14ac:dyDescent="0.25">
      <c r="A140" s="140"/>
      <c r="B140" s="524" t="s">
        <v>1080</v>
      </c>
      <c r="C140" s="519"/>
      <c r="D140" s="781"/>
      <c r="E140" s="781"/>
      <c r="F140" s="781"/>
      <c r="G140" s="907">
        <v>2237</v>
      </c>
      <c r="H140" s="130">
        <f t="shared" si="82"/>
        <v>2237</v>
      </c>
      <c r="I140" s="137"/>
      <c r="J140" s="137"/>
      <c r="K140" s="139"/>
      <c r="L140" s="135">
        <f t="shared" si="83"/>
        <v>0</v>
      </c>
      <c r="M140" s="137"/>
      <c r="N140" s="139"/>
      <c r="O140" s="328"/>
      <c r="P140" s="130">
        <f t="shared" si="84"/>
        <v>2237</v>
      </c>
    </row>
    <row r="141" spans="1:16" x14ac:dyDescent="0.25">
      <c r="A141" s="140"/>
      <c r="B141" s="524" t="s">
        <v>1081</v>
      </c>
      <c r="C141" s="519"/>
      <c r="D141" s="781"/>
      <c r="E141" s="781"/>
      <c r="F141" s="781"/>
      <c r="G141" s="907">
        <v>9348</v>
      </c>
      <c r="H141" s="130">
        <f t="shared" si="82"/>
        <v>9348</v>
      </c>
      <c r="I141" s="137"/>
      <c r="J141" s="137"/>
      <c r="K141" s="139"/>
      <c r="L141" s="135">
        <f t="shared" si="83"/>
        <v>0</v>
      </c>
      <c r="M141" s="137"/>
      <c r="N141" s="139"/>
      <c r="O141" s="328"/>
      <c r="P141" s="130">
        <f t="shared" si="84"/>
        <v>9348</v>
      </c>
    </row>
    <row r="142" spans="1:16" x14ac:dyDescent="0.25">
      <c r="A142" s="140"/>
      <c r="B142" s="524" t="s">
        <v>1193</v>
      </c>
      <c r="C142" s="519"/>
      <c r="D142" s="781"/>
      <c r="E142" s="781"/>
      <c r="F142" s="781"/>
      <c r="G142" s="907">
        <v>30421</v>
      </c>
      <c r="H142" s="130">
        <f t="shared" si="82"/>
        <v>30421</v>
      </c>
      <c r="I142" s="137"/>
      <c r="J142" s="137"/>
      <c r="K142" s="139"/>
      <c r="L142" s="135">
        <f t="shared" si="83"/>
        <v>0</v>
      </c>
      <c r="M142" s="137"/>
      <c r="N142" s="139"/>
      <c r="O142" s="328"/>
      <c r="P142" s="130">
        <f t="shared" si="84"/>
        <v>30421</v>
      </c>
    </row>
    <row r="143" spans="1:16" x14ac:dyDescent="0.25">
      <c r="A143" s="140"/>
      <c r="B143" s="757"/>
      <c r="C143" s="137"/>
      <c r="D143" s="138"/>
      <c r="E143" s="138"/>
      <c r="F143" s="138"/>
      <c r="G143" s="788"/>
      <c r="H143" s="130"/>
      <c r="I143" s="137"/>
      <c r="J143" s="137"/>
      <c r="K143" s="139"/>
      <c r="L143" s="135"/>
      <c r="M143" s="137"/>
      <c r="N143" s="139"/>
      <c r="O143" s="328"/>
      <c r="P143" s="130"/>
    </row>
    <row r="144" spans="1:16" ht="31.5" x14ac:dyDescent="0.25">
      <c r="A144" s="136"/>
      <c r="B144" s="757" t="s">
        <v>541</v>
      </c>
      <c r="C144" s="137"/>
      <c r="D144" s="138"/>
      <c r="E144" s="138"/>
      <c r="F144" s="138"/>
      <c r="G144" s="788"/>
      <c r="H144" s="135"/>
      <c r="I144" s="137"/>
      <c r="J144" s="137"/>
      <c r="K144" s="139"/>
      <c r="L144" s="135"/>
      <c r="M144" s="137"/>
      <c r="N144" s="139"/>
      <c r="O144" s="328"/>
      <c r="P144" s="135"/>
    </row>
    <row r="145" spans="1:16" x14ac:dyDescent="0.25">
      <c r="A145" s="136"/>
      <c r="B145" s="531" t="s">
        <v>729</v>
      </c>
      <c r="C145" s="137"/>
      <c r="D145" s="138"/>
      <c r="E145" s="138"/>
      <c r="F145" s="138"/>
      <c r="G145" s="788"/>
      <c r="H145" s="135"/>
      <c r="I145" s="137"/>
      <c r="J145" s="137"/>
      <c r="K145" s="139"/>
      <c r="L145" s="135"/>
      <c r="M145" s="137"/>
      <c r="N145" s="139"/>
      <c r="O145" s="328"/>
      <c r="P145" s="135"/>
    </row>
    <row r="146" spans="1:16" x14ac:dyDescent="0.25">
      <c r="A146" s="136"/>
      <c r="B146" s="524" t="s">
        <v>854</v>
      </c>
      <c r="C146" s="137"/>
      <c r="D146" s="138"/>
      <c r="E146" s="138">
        <v>-4</v>
      </c>
      <c r="F146" s="138"/>
      <c r="G146" s="148">
        <v>4</v>
      </c>
      <c r="H146" s="130">
        <f t="shared" ref="H146" si="85">SUM(C146:G146)</f>
        <v>0</v>
      </c>
      <c r="I146" s="137"/>
      <c r="J146" s="137"/>
      <c r="K146" s="139"/>
      <c r="L146" s="135">
        <f t="shared" ref="L146" si="86">SUM(I146:K146)</f>
        <v>0</v>
      </c>
      <c r="M146" s="137"/>
      <c r="N146" s="139"/>
      <c r="O146" s="328"/>
      <c r="P146" s="130">
        <f t="shared" ref="P146" si="87">O146+L146+H146</f>
        <v>0</v>
      </c>
    </row>
    <row r="147" spans="1:16" x14ac:dyDescent="0.25">
      <c r="A147" s="140"/>
      <c r="B147" s="146"/>
      <c r="C147" s="137"/>
      <c r="D147" s="138"/>
      <c r="E147" s="138"/>
      <c r="F147" s="138"/>
      <c r="G147" s="148"/>
      <c r="H147" s="130"/>
      <c r="I147" s="519"/>
      <c r="J147" s="519"/>
      <c r="K147" s="523"/>
      <c r="L147" s="135"/>
      <c r="M147" s="519"/>
      <c r="N147" s="523"/>
      <c r="O147" s="520"/>
      <c r="P147" s="130"/>
    </row>
    <row r="148" spans="1:16" s="128" customFormat="1" x14ac:dyDescent="0.25">
      <c r="A148" s="140" t="s">
        <v>124</v>
      </c>
      <c r="B148" s="129" t="s">
        <v>44</v>
      </c>
      <c r="C148" s="141"/>
      <c r="D148" s="141"/>
      <c r="E148" s="141"/>
      <c r="F148" s="141"/>
      <c r="G148" s="141"/>
      <c r="H148" s="135"/>
      <c r="I148" s="141"/>
      <c r="J148" s="141"/>
      <c r="K148" s="141"/>
      <c r="L148" s="135"/>
      <c r="M148" s="141"/>
      <c r="N148" s="141"/>
      <c r="O148" s="135"/>
      <c r="P148" s="130"/>
    </row>
    <row r="149" spans="1:16" s="521" customFormat="1" x14ac:dyDescent="0.25">
      <c r="A149" s="780"/>
      <c r="B149" s="129" t="s">
        <v>126</v>
      </c>
      <c r="C149" s="519"/>
      <c r="D149" s="519"/>
      <c r="E149" s="519"/>
      <c r="F149" s="519"/>
      <c r="G149" s="786"/>
      <c r="H149" s="530"/>
      <c r="I149" s="519"/>
      <c r="J149" s="519"/>
      <c r="K149" s="786"/>
      <c r="L149" s="520"/>
      <c r="M149" s="519"/>
      <c r="N149" s="786"/>
      <c r="O149" s="520"/>
      <c r="P149" s="530"/>
    </row>
    <row r="150" spans="1:16" x14ac:dyDescent="0.25">
      <c r="A150" s="136"/>
      <c r="B150" s="531" t="s">
        <v>729</v>
      </c>
      <c r="C150" s="137"/>
      <c r="D150" s="138"/>
      <c r="E150" s="138"/>
      <c r="F150" s="138"/>
      <c r="G150" s="788"/>
      <c r="H150" s="130"/>
      <c r="I150" s="137"/>
      <c r="J150" s="137"/>
      <c r="K150" s="139"/>
      <c r="L150" s="135"/>
      <c r="M150" s="137"/>
      <c r="N150" s="139"/>
      <c r="O150" s="328"/>
      <c r="P150" s="130"/>
    </row>
    <row r="151" spans="1:16" x14ac:dyDescent="0.25">
      <c r="A151" s="136"/>
      <c r="B151" s="524" t="s">
        <v>853</v>
      </c>
      <c r="C151" s="137"/>
      <c r="D151" s="138"/>
      <c r="E151" s="138">
        <v>25</v>
      </c>
      <c r="F151" s="138"/>
      <c r="G151" s="788">
        <v>-25</v>
      </c>
      <c r="H151" s="130">
        <f t="shared" ref="H151" si="88">SUM(C151:G151)</f>
        <v>0</v>
      </c>
      <c r="I151" s="137"/>
      <c r="J151" s="137"/>
      <c r="K151" s="139"/>
      <c r="L151" s="135">
        <f t="shared" ref="L151" si="89">SUM(I151:K151)</f>
        <v>0</v>
      </c>
      <c r="M151" s="137"/>
      <c r="N151" s="139"/>
      <c r="O151" s="328"/>
      <c r="P151" s="130">
        <f t="shared" ref="P151" si="90">O151+L151+H151</f>
        <v>0</v>
      </c>
    </row>
    <row r="152" spans="1:16" x14ac:dyDescent="0.25">
      <c r="A152" s="140"/>
      <c r="B152" s="146"/>
      <c r="C152" s="137"/>
      <c r="D152" s="138"/>
      <c r="E152" s="138"/>
      <c r="F152" s="138"/>
      <c r="G152" s="148"/>
      <c r="H152" s="130"/>
      <c r="I152" s="519"/>
      <c r="J152" s="519"/>
      <c r="K152" s="523"/>
      <c r="L152" s="135"/>
      <c r="M152" s="519"/>
      <c r="N152" s="523"/>
      <c r="O152" s="520"/>
      <c r="P152" s="130"/>
    </row>
    <row r="153" spans="1:16" s="521" customFormat="1" ht="31.5" x14ac:dyDescent="0.25">
      <c r="A153" s="780"/>
      <c r="B153" s="770" t="s">
        <v>646</v>
      </c>
      <c r="C153" s="519"/>
      <c r="D153" s="519"/>
      <c r="E153" s="519"/>
      <c r="F153" s="519"/>
      <c r="G153" s="786"/>
      <c r="H153" s="530"/>
      <c r="I153" s="519"/>
      <c r="J153" s="519"/>
      <c r="K153" s="786"/>
      <c r="L153" s="520"/>
      <c r="M153" s="519"/>
      <c r="N153" s="786"/>
      <c r="O153" s="520"/>
      <c r="P153" s="530"/>
    </row>
    <row r="154" spans="1:16" s="521" customFormat="1" ht="70.5" customHeight="1" x14ac:dyDescent="0.25">
      <c r="A154" s="780"/>
      <c r="B154" s="769" t="s">
        <v>1000</v>
      </c>
      <c r="C154" s="519"/>
      <c r="D154" s="519"/>
      <c r="E154" s="519"/>
      <c r="F154" s="519"/>
      <c r="G154" s="786"/>
      <c r="H154" s="752">
        <f>SUM(C154:G154)</f>
        <v>0</v>
      </c>
      <c r="I154" s="766">
        <v>643</v>
      </c>
      <c r="J154" s="766"/>
      <c r="K154" s="767"/>
      <c r="L154" s="754">
        <f>SUM(I154:K154)</f>
        <v>643</v>
      </c>
      <c r="M154" s="766"/>
      <c r="N154" s="767"/>
      <c r="O154" s="768"/>
      <c r="P154" s="752">
        <f>O154+L154+H154</f>
        <v>643</v>
      </c>
    </row>
    <row r="155" spans="1:16" s="521" customFormat="1" x14ac:dyDescent="0.25">
      <c r="A155" s="780"/>
      <c r="B155" s="769"/>
      <c r="C155" s="519"/>
      <c r="D155" s="519"/>
      <c r="E155" s="519"/>
      <c r="F155" s="519"/>
      <c r="G155" s="786"/>
      <c r="H155" s="530"/>
      <c r="I155" s="519"/>
      <c r="J155" s="519"/>
      <c r="K155" s="786"/>
      <c r="L155" s="520"/>
      <c r="M155" s="519"/>
      <c r="N155" s="786"/>
      <c r="O155" s="520"/>
      <c r="P155" s="530"/>
    </row>
    <row r="156" spans="1:16" x14ac:dyDescent="0.25">
      <c r="A156" s="140"/>
      <c r="B156" s="144" t="s">
        <v>127</v>
      </c>
      <c r="C156" s="137"/>
      <c r="D156" s="138"/>
      <c r="E156" s="138"/>
      <c r="F156" s="138"/>
      <c r="G156" s="148"/>
      <c r="H156" s="130"/>
      <c r="I156" s="137"/>
      <c r="J156" s="137"/>
      <c r="K156" s="139"/>
      <c r="L156" s="135"/>
      <c r="M156" s="137"/>
      <c r="N156" s="139"/>
      <c r="O156" s="328"/>
      <c r="P156" s="130"/>
    </row>
    <row r="157" spans="1:16" x14ac:dyDescent="0.25">
      <c r="A157" s="140"/>
      <c r="B157" s="525" t="s">
        <v>676</v>
      </c>
      <c r="C157" s="137"/>
      <c r="D157" s="138"/>
      <c r="E157" s="138"/>
      <c r="F157" s="138"/>
      <c r="G157" s="148"/>
      <c r="H157" s="130"/>
      <c r="I157" s="137"/>
      <c r="J157" s="137"/>
      <c r="K157" s="139"/>
      <c r="L157" s="135"/>
      <c r="M157" s="137"/>
      <c r="N157" s="139"/>
      <c r="O157" s="328"/>
      <c r="P157" s="130"/>
    </row>
    <row r="158" spans="1:16" ht="88.5" customHeight="1" x14ac:dyDescent="0.25">
      <c r="A158" s="140"/>
      <c r="B158" s="146" t="s">
        <v>1059</v>
      </c>
      <c r="C158" s="137"/>
      <c r="D158" s="138"/>
      <c r="E158" s="138"/>
      <c r="F158" s="138"/>
      <c r="G158" s="148">
        <v>-800</v>
      </c>
      <c r="H158" s="130">
        <f>SUM(C158:G158)</f>
        <v>-800</v>
      </c>
      <c r="I158" s="137"/>
      <c r="J158" s="137"/>
      <c r="K158" s="139"/>
      <c r="L158" s="135">
        <f>SUM(I158:K158)</f>
        <v>0</v>
      </c>
      <c r="M158" s="137"/>
      <c r="N158" s="139"/>
      <c r="O158" s="328"/>
      <c r="P158" s="130">
        <f>O158+L158+H158</f>
        <v>-800</v>
      </c>
    </row>
    <row r="159" spans="1:16" ht="66" customHeight="1" x14ac:dyDescent="0.25">
      <c r="A159" s="140"/>
      <c r="B159" s="146" t="s">
        <v>1060</v>
      </c>
      <c r="C159" s="137"/>
      <c r="D159" s="138"/>
      <c r="E159" s="138"/>
      <c r="F159" s="138"/>
      <c r="G159" s="148">
        <v>-244</v>
      </c>
      <c r="H159" s="130">
        <f>SUM(C159:G159)</f>
        <v>-244</v>
      </c>
      <c r="I159" s="137"/>
      <c r="J159" s="137"/>
      <c r="K159" s="139"/>
      <c r="L159" s="135">
        <f>SUM(I159:K159)</f>
        <v>0</v>
      </c>
      <c r="M159" s="137"/>
      <c r="N159" s="139"/>
      <c r="O159" s="328"/>
      <c r="P159" s="130">
        <f>O159+L159+H159</f>
        <v>-244</v>
      </c>
    </row>
    <row r="160" spans="1:16" s="756" customFormat="1" x14ac:dyDescent="0.25">
      <c r="A160" s="749"/>
      <c r="B160" s="750"/>
      <c r="C160" s="751"/>
      <c r="D160" s="147"/>
      <c r="E160" s="147"/>
      <c r="F160" s="147"/>
      <c r="G160" s="329"/>
      <c r="H160" s="752"/>
      <c r="I160" s="751"/>
      <c r="J160" s="751"/>
      <c r="K160" s="753"/>
      <c r="L160" s="754"/>
      <c r="M160" s="751"/>
      <c r="N160" s="753"/>
      <c r="O160" s="755"/>
      <c r="P160" s="752"/>
    </row>
    <row r="161" spans="1:16" x14ac:dyDescent="0.25">
      <c r="A161" s="136"/>
      <c r="B161" s="531" t="s">
        <v>729</v>
      </c>
      <c r="C161" s="137"/>
      <c r="D161" s="138"/>
      <c r="E161" s="138"/>
      <c r="F161" s="138"/>
      <c r="G161" s="788"/>
      <c r="H161" s="130"/>
      <c r="I161" s="137"/>
      <c r="J161" s="137"/>
      <c r="K161" s="139"/>
      <c r="L161" s="135"/>
      <c r="M161" s="137"/>
      <c r="N161" s="139"/>
      <c r="O161" s="328"/>
      <c r="P161" s="130"/>
    </row>
    <row r="162" spans="1:16" x14ac:dyDescent="0.25">
      <c r="A162" s="136"/>
      <c r="B162" s="524" t="s">
        <v>1048</v>
      </c>
      <c r="C162" s="137"/>
      <c r="D162" s="138"/>
      <c r="E162" s="138"/>
      <c r="F162" s="138"/>
      <c r="G162" s="788">
        <v>1500</v>
      </c>
      <c r="H162" s="130">
        <f t="shared" ref="H162:H163" si="91">SUM(C162:G162)</f>
        <v>1500</v>
      </c>
      <c r="I162" s="137"/>
      <c r="J162" s="137"/>
      <c r="K162" s="139">
        <v>-1500</v>
      </c>
      <c r="L162" s="135">
        <f t="shared" ref="L162" si="92">SUM(I162:K162)</f>
        <v>-1500</v>
      </c>
      <c r="M162" s="137"/>
      <c r="N162" s="139"/>
      <c r="O162" s="328"/>
      <c r="P162" s="130">
        <f t="shared" ref="P162" si="93">O162+L162+H162</f>
        <v>0</v>
      </c>
    </row>
    <row r="163" spans="1:16" x14ac:dyDescent="0.25">
      <c r="A163" s="136"/>
      <c r="B163" s="524" t="s">
        <v>855</v>
      </c>
      <c r="C163" s="137"/>
      <c r="D163" s="138"/>
      <c r="E163" s="138">
        <v>-650</v>
      </c>
      <c r="F163" s="138"/>
      <c r="G163" s="148">
        <v>650</v>
      </c>
      <c r="H163" s="130">
        <f t="shared" si="91"/>
        <v>0</v>
      </c>
      <c r="I163" s="137"/>
      <c r="J163" s="137"/>
      <c r="K163" s="139"/>
      <c r="L163" s="135">
        <f t="shared" ref="L163" si="94">SUM(I163:K163)</f>
        <v>0</v>
      </c>
      <c r="M163" s="137"/>
      <c r="N163" s="139"/>
      <c r="O163" s="328"/>
      <c r="P163" s="130">
        <f t="shared" ref="P163" si="95">O163+L163+H163</f>
        <v>0</v>
      </c>
    </row>
    <row r="164" spans="1:16" x14ac:dyDescent="0.25">
      <c r="A164" s="136"/>
      <c r="B164" s="524"/>
      <c r="C164" s="137"/>
      <c r="D164" s="138"/>
      <c r="E164" s="138"/>
      <c r="F164" s="138"/>
      <c r="G164" s="148"/>
      <c r="H164" s="130"/>
      <c r="I164" s="137"/>
      <c r="J164" s="137"/>
      <c r="K164" s="139"/>
      <c r="L164" s="135"/>
      <c r="M164" s="137"/>
      <c r="N164" s="139"/>
      <c r="O164" s="328"/>
      <c r="P164" s="130"/>
    </row>
    <row r="165" spans="1:16" ht="31.5" x14ac:dyDescent="0.25">
      <c r="A165" s="140"/>
      <c r="B165" s="531" t="s">
        <v>645</v>
      </c>
      <c r="C165" s="137"/>
      <c r="D165" s="138"/>
      <c r="E165" s="138"/>
      <c r="F165" s="138"/>
      <c r="G165" s="330"/>
      <c r="H165" s="130"/>
      <c r="I165" s="137"/>
      <c r="J165" s="137"/>
      <c r="K165" s="139"/>
      <c r="L165" s="135"/>
      <c r="M165" s="137"/>
      <c r="N165" s="139"/>
      <c r="O165" s="328"/>
      <c r="P165" s="130"/>
    </row>
    <row r="166" spans="1:16" ht="52.5" customHeight="1" x14ac:dyDescent="0.25">
      <c r="A166" s="125"/>
      <c r="B166" s="799" t="s">
        <v>1077</v>
      </c>
      <c r="C166" s="132"/>
      <c r="D166" s="133"/>
      <c r="E166" s="802"/>
      <c r="F166" s="138"/>
      <c r="G166" s="877">
        <v>2500</v>
      </c>
      <c r="H166" s="130">
        <f t="shared" ref="H166" si="96">SUM(C166:G166)</f>
        <v>2500</v>
      </c>
      <c r="I166" s="132"/>
      <c r="J166" s="132"/>
      <c r="K166" s="906"/>
      <c r="L166" s="135">
        <f t="shared" ref="L166" si="97">SUM(I166:K166)</f>
        <v>0</v>
      </c>
      <c r="M166" s="137"/>
      <c r="N166" s="139"/>
      <c r="O166" s="328"/>
      <c r="P166" s="130">
        <f t="shared" ref="P166" si="98">O166+L166+H166</f>
        <v>2500</v>
      </c>
    </row>
    <row r="167" spans="1:16" x14ac:dyDescent="0.25">
      <c r="A167" s="125"/>
      <c r="B167" s="799"/>
      <c r="C167" s="132"/>
      <c r="D167" s="133"/>
      <c r="E167" s="133"/>
      <c r="F167" s="138"/>
      <c r="G167" s="800"/>
      <c r="H167" s="130"/>
      <c r="I167" s="132"/>
      <c r="J167" s="132"/>
      <c r="K167" s="134"/>
      <c r="L167" s="135"/>
      <c r="M167" s="132"/>
      <c r="N167" s="134"/>
      <c r="O167" s="327"/>
      <c r="P167" s="130"/>
    </row>
    <row r="168" spans="1:16" ht="31.5" x14ac:dyDescent="0.25">
      <c r="A168" s="140"/>
      <c r="B168" s="531" t="s">
        <v>646</v>
      </c>
      <c r="C168" s="137"/>
      <c r="D168" s="138"/>
      <c r="E168" s="138"/>
      <c r="F168" s="138"/>
      <c r="G168" s="330"/>
      <c r="H168" s="135"/>
      <c r="I168" s="137"/>
      <c r="J168" s="137"/>
      <c r="K168" s="139"/>
      <c r="L168" s="135"/>
      <c r="M168" s="137"/>
      <c r="N168" s="139"/>
      <c r="O168" s="328"/>
      <c r="P168" s="135"/>
    </row>
    <row r="169" spans="1:16" x14ac:dyDescent="0.25">
      <c r="A169" s="125"/>
      <c r="B169" s="799" t="s">
        <v>983</v>
      </c>
      <c r="C169" s="132"/>
      <c r="D169" s="133"/>
      <c r="E169" s="802"/>
      <c r="F169" s="138"/>
      <c r="G169" s="877"/>
      <c r="H169" s="130">
        <f>SUM(C169:G169)</f>
        <v>0</v>
      </c>
      <c r="I169" s="137"/>
      <c r="J169" s="137"/>
      <c r="K169" s="753">
        <v>1000</v>
      </c>
      <c r="L169" s="135">
        <f t="shared" ref="L169" si="99">SUM(I169:K169)</f>
        <v>1000</v>
      </c>
      <c r="M169" s="137"/>
      <c r="N169" s="139"/>
      <c r="O169" s="328"/>
      <c r="P169" s="130">
        <f t="shared" ref="P169" si="100">O169+L169+H169</f>
        <v>1000</v>
      </c>
    </row>
    <row r="170" spans="1:16" ht="31.5" x14ac:dyDescent="0.25">
      <c r="A170" s="140"/>
      <c r="B170" s="524" t="s">
        <v>866</v>
      </c>
      <c r="C170" s="137"/>
      <c r="D170" s="138"/>
      <c r="E170" s="147"/>
      <c r="F170" s="138"/>
      <c r="G170" s="330">
        <v>1000</v>
      </c>
      <c r="H170" s="135">
        <f t="shared" ref="H170" si="101">SUM(C170:G170)</f>
        <v>1000</v>
      </c>
      <c r="I170" s="137"/>
      <c r="J170" s="137"/>
      <c r="K170" s="139"/>
      <c r="L170" s="135">
        <f t="shared" ref="L170" si="102">SUM(I170:K170)</f>
        <v>0</v>
      </c>
      <c r="M170" s="137"/>
      <c r="N170" s="139"/>
      <c r="O170" s="328"/>
      <c r="P170" s="135">
        <f t="shared" ref="P170" si="103">O170+L170+H170</f>
        <v>1000</v>
      </c>
    </row>
    <row r="171" spans="1:16" ht="31.5" x14ac:dyDescent="0.25">
      <c r="A171" s="125"/>
      <c r="B171" s="799" t="s">
        <v>963</v>
      </c>
      <c r="C171" s="132"/>
      <c r="D171" s="133"/>
      <c r="E171" s="133"/>
      <c r="F171" s="133"/>
      <c r="G171" s="800">
        <v>882</v>
      </c>
      <c r="H171" s="130">
        <f t="shared" ref="H171" si="104">SUM(C171:G171)</f>
        <v>882</v>
      </c>
      <c r="I171" s="137"/>
      <c r="J171" s="137"/>
      <c r="K171" s="139"/>
      <c r="L171" s="135">
        <f t="shared" ref="L171" si="105">SUM(I171:K171)</f>
        <v>0</v>
      </c>
      <c r="M171" s="137"/>
      <c r="N171" s="139"/>
      <c r="O171" s="328"/>
      <c r="P171" s="130">
        <f t="shared" ref="P171" si="106">O171+L171+H171</f>
        <v>882</v>
      </c>
    </row>
    <row r="172" spans="1:16" x14ac:dyDescent="0.25">
      <c r="A172" s="125"/>
      <c r="B172" s="799"/>
      <c r="C172" s="132"/>
      <c r="D172" s="133"/>
      <c r="E172" s="133"/>
      <c r="F172" s="133"/>
      <c r="G172" s="800"/>
      <c r="H172" s="130"/>
      <c r="I172" s="132"/>
      <c r="J172" s="132"/>
      <c r="K172" s="134"/>
      <c r="L172" s="135"/>
      <c r="M172" s="132"/>
      <c r="N172" s="134"/>
      <c r="O172" s="327"/>
      <c r="P172" s="130"/>
    </row>
    <row r="173" spans="1:16" ht="31.5" x14ac:dyDescent="0.25">
      <c r="A173" s="140"/>
      <c r="B173" s="757" t="s">
        <v>307</v>
      </c>
      <c r="C173" s="137"/>
      <c r="D173" s="138"/>
      <c r="E173" s="138"/>
      <c r="F173" s="138"/>
      <c r="G173" s="330"/>
      <c r="H173" s="130"/>
      <c r="I173" s="137"/>
      <c r="J173" s="137"/>
      <c r="K173" s="139"/>
      <c r="L173" s="135"/>
      <c r="M173" s="137"/>
      <c r="N173" s="139"/>
      <c r="O173" s="328"/>
      <c r="P173" s="130"/>
    </row>
    <row r="174" spans="1:16" ht="31.5" x14ac:dyDescent="0.25">
      <c r="A174" s="140"/>
      <c r="B174" s="531" t="s">
        <v>645</v>
      </c>
      <c r="C174" s="137"/>
      <c r="D174" s="138"/>
      <c r="E174" s="138"/>
      <c r="F174" s="138"/>
      <c r="G174" s="330"/>
      <c r="H174" s="130"/>
      <c r="I174" s="137"/>
      <c r="J174" s="137"/>
      <c r="K174" s="139"/>
      <c r="L174" s="135"/>
      <c r="M174" s="137"/>
      <c r="N174" s="139"/>
      <c r="O174" s="328"/>
      <c r="P174" s="130"/>
    </row>
    <row r="175" spans="1:16" x14ac:dyDescent="0.25">
      <c r="A175" s="140"/>
      <c r="B175" s="524" t="s">
        <v>971</v>
      </c>
      <c r="C175" s="137"/>
      <c r="D175" s="138"/>
      <c r="E175" s="138"/>
      <c r="F175" s="138"/>
      <c r="G175" s="330">
        <v>5000</v>
      </c>
      <c r="H175" s="130">
        <f t="shared" ref="H175" si="107">SUM(C175:G175)</f>
        <v>5000</v>
      </c>
      <c r="I175" s="137"/>
      <c r="J175" s="137"/>
      <c r="K175" s="139"/>
      <c r="L175" s="135">
        <f t="shared" ref="L175" si="108">SUM(I175:K175)</f>
        <v>0</v>
      </c>
      <c r="M175" s="137"/>
      <c r="N175" s="139"/>
      <c r="O175" s="328"/>
      <c r="P175" s="130">
        <f t="shared" ref="P175" si="109">O175+L175+H175</f>
        <v>5000</v>
      </c>
    </row>
    <row r="176" spans="1:16" x14ac:dyDescent="0.25">
      <c r="A176" s="140"/>
      <c r="B176" s="524" t="s">
        <v>973</v>
      </c>
      <c r="C176" s="137"/>
      <c r="D176" s="138"/>
      <c r="E176" s="138"/>
      <c r="F176" s="138"/>
      <c r="G176" s="330">
        <v>20000</v>
      </c>
      <c r="H176" s="130">
        <f t="shared" ref="H176" si="110">SUM(C176:G176)</f>
        <v>20000</v>
      </c>
      <c r="I176" s="137"/>
      <c r="J176" s="137"/>
      <c r="K176" s="139"/>
      <c r="L176" s="135">
        <f t="shared" ref="L176" si="111">SUM(I176:K176)</f>
        <v>0</v>
      </c>
      <c r="M176" s="137"/>
      <c r="N176" s="139"/>
      <c r="O176" s="328"/>
      <c r="P176" s="130">
        <f t="shared" ref="P176" si="112">O176+L176+H176</f>
        <v>20000</v>
      </c>
    </row>
    <row r="177" spans="1:16" ht="31.5" x14ac:dyDescent="0.25">
      <c r="A177" s="140"/>
      <c r="B177" s="524" t="s">
        <v>862</v>
      </c>
      <c r="C177" s="137"/>
      <c r="D177" s="138"/>
      <c r="E177" s="138"/>
      <c r="F177" s="138"/>
      <c r="G177" s="330">
        <v>2000</v>
      </c>
      <c r="H177" s="130">
        <f t="shared" ref="H177" si="113">SUM(C177:G177)</f>
        <v>2000</v>
      </c>
      <c r="I177" s="137"/>
      <c r="J177" s="137"/>
      <c r="K177" s="139"/>
      <c r="L177" s="135">
        <f t="shared" ref="L177" si="114">SUM(I177:K177)</f>
        <v>0</v>
      </c>
      <c r="M177" s="137"/>
      <c r="N177" s="139"/>
      <c r="O177" s="328"/>
      <c r="P177" s="130">
        <f t="shared" ref="P177" si="115">O177+L177+H177</f>
        <v>2000</v>
      </c>
    </row>
    <row r="178" spans="1:16" ht="31.5" x14ac:dyDescent="0.25">
      <c r="A178" s="140"/>
      <c r="B178" s="524" t="s">
        <v>1073</v>
      </c>
      <c r="C178" s="137"/>
      <c r="D178" s="138"/>
      <c r="E178" s="138"/>
      <c r="F178" s="138"/>
      <c r="G178" s="330">
        <v>1600</v>
      </c>
      <c r="H178" s="130">
        <f t="shared" ref="H178" si="116">SUM(C178:G178)</f>
        <v>1600</v>
      </c>
      <c r="I178" s="137"/>
      <c r="J178" s="137"/>
      <c r="K178" s="139"/>
      <c r="L178" s="135">
        <f t="shared" ref="L178" si="117">SUM(I178:K178)</f>
        <v>0</v>
      </c>
      <c r="M178" s="137"/>
      <c r="N178" s="139"/>
      <c r="O178" s="328"/>
      <c r="P178" s="130">
        <f t="shared" ref="P178" si="118">O178+L178+H178</f>
        <v>1600</v>
      </c>
    </row>
    <row r="179" spans="1:16" s="756" customFormat="1" ht="35.25" customHeight="1" x14ac:dyDescent="0.25">
      <c r="A179" s="749"/>
      <c r="B179" s="798" t="s">
        <v>1078</v>
      </c>
      <c r="C179" s="751"/>
      <c r="D179" s="147"/>
      <c r="E179" s="147"/>
      <c r="F179" s="147"/>
      <c r="G179" s="917">
        <v>25000</v>
      </c>
      <c r="H179" s="752">
        <f t="shared" ref="H179" si="119">SUM(C179:G179)</f>
        <v>25000</v>
      </c>
      <c r="I179" s="751"/>
      <c r="J179" s="751"/>
      <c r="K179" s="753"/>
      <c r="L179" s="754">
        <f t="shared" ref="L179" si="120">SUM(I179:K179)</f>
        <v>0</v>
      </c>
      <c r="M179" s="751"/>
      <c r="N179" s="753"/>
      <c r="O179" s="755"/>
      <c r="P179" s="752">
        <f t="shared" ref="P179" si="121">O179+L179+H179</f>
        <v>25000</v>
      </c>
    </row>
    <row r="180" spans="1:16" x14ac:dyDescent="0.25">
      <c r="A180" s="140"/>
      <c r="B180" s="524"/>
      <c r="C180" s="137"/>
      <c r="D180" s="138"/>
      <c r="E180" s="138"/>
      <c r="F180" s="138"/>
      <c r="G180" s="330"/>
      <c r="H180" s="130"/>
      <c r="I180" s="137"/>
      <c r="J180" s="137"/>
      <c r="K180" s="139"/>
      <c r="L180" s="135"/>
      <c r="M180" s="137"/>
      <c r="N180" s="139"/>
      <c r="O180" s="328"/>
      <c r="P180" s="130"/>
    </row>
    <row r="181" spans="1:16" x14ac:dyDescent="0.25">
      <c r="A181" s="140"/>
      <c r="B181" s="757" t="s">
        <v>308</v>
      </c>
      <c r="C181" s="137"/>
      <c r="D181" s="138"/>
      <c r="E181" s="138"/>
      <c r="F181" s="138"/>
      <c r="G181" s="330"/>
      <c r="H181" s="130"/>
      <c r="I181" s="137"/>
      <c r="J181" s="137"/>
      <c r="K181" s="139"/>
      <c r="L181" s="135"/>
      <c r="M181" s="137"/>
      <c r="N181" s="139"/>
      <c r="O181" s="328"/>
      <c r="P181" s="130"/>
    </row>
    <row r="182" spans="1:16" x14ac:dyDescent="0.25">
      <c r="A182" s="140"/>
      <c r="B182" s="531" t="s">
        <v>729</v>
      </c>
      <c r="C182" s="137"/>
      <c r="D182" s="138"/>
      <c r="E182" s="138"/>
      <c r="F182" s="138"/>
      <c r="G182" s="330"/>
      <c r="H182" s="130"/>
      <c r="I182" s="137"/>
      <c r="J182" s="137"/>
      <c r="K182" s="139"/>
      <c r="L182" s="135"/>
      <c r="M182" s="137"/>
      <c r="N182" s="139"/>
      <c r="O182" s="328"/>
      <c r="P182" s="130"/>
    </row>
    <row r="183" spans="1:16" ht="41.25" customHeight="1" x14ac:dyDescent="0.25">
      <c r="A183" s="140"/>
      <c r="B183" s="524" t="s">
        <v>1049</v>
      </c>
      <c r="C183" s="137"/>
      <c r="D183" s="138"/>
      <c r="E183" s="138"/>
      <c r="F183" s="138"/>
      <c r="G183" s="330">
        <v>-20000</v>
      </c>
      <c r="H183" s="130">
        <f t="shared" ref="H183:H184" si="122">SUM(C183:G183)</f>
        <v>-20000</v>
      </c>
      <c r="I183" s="137"/>
      <c r="J183" s="137"/>
      <c r="K183" s="139">
        <v>20000</v>
      </c>
      <c r="L183" s="135">
        <f t="shared" ref="L183:L184" si="123">SUM(I183:K183)</f>
        <v>20000</v>
      </c>
      <c r="M183" s="137"/>
      <c r="N183" s="139"/>
      <c r="O183" s="328"/>
      <c r="P183" s="130">
        <f t="shared" ref="P183:P184" si="124">O183+L183+H183</f>
        <v>0</v>
      </c>
    </row>
    <row r="184" spans="1:16" s="756" customFormat="1" ht="31.5" x14ac:dyDescent="0.25">
      <c r="A184" s="749"/>
      <c r="B184" s="798" t="s">
        <v>1102</v>
      </c>
      <c r="C184" s="751"/>
      <c r="D184" s="147"/>
      <c r="E184" s="147"/>
      <c r="F184" s="147"/>
      <c r="G184" s="917">
        <v>-58000</v>
      </c>
      <c r="H184" s="752">
        <f t="shared" si="122"/>
        <v>-58000</v>
      </c>
      <c r="I184" s="751"/>
      <c r="J184" s="751">
        <v>58000</v>
      </c>
      <c r="K184" s="753"/>
      <c r="L184" s="754">
        <f t="shared" si="123"/>
        <v>58000</v>
      </c>
      <c r="M184" s="751"/>
      <c r="N184" s="753"/>
      <c r="O184" s="755"/>
      <c r="P184" s="752">
        <f t="shared" si="124"/>
        <v>0</v>
      </c>
    </row>
    <row r="185" spans="1:16" x14ac:dyDescent="0.25">
      <c r="A185" s="140"/>
      <c r="B185" s="757"/>
      <c r="C185" s="137"/>
      <c r="D185" s="138"/>
      <c r="E185" s="138"/>
      <c r="F185" s="138"/>
      <c r="G185" s="330"/>
      <c r="H185" s="130"/>
      <c r="I185" s="137"/>
      <c r="J185" s="137"/>
      <c r="K185" s="139"/>
      <c r="L185" s="135"/>
      <c r="M185" s="137"/>
      <c r="N185" s="139"/>
      <c r="O185" s="328"/>
      <c r="P185" s="130"/>
    </row>
    <row r="186" spans="1:16" ht="31.5" x14ac:dyDescent="0.25">
      <c r="A186" s="140"/>
      <c r="B186" s="531" t="s">
        <v>645</v>
      </c>
      <c r="C186" s="137"/>
      <c r="D186" s="138"/>
      <c r="E186" s="138"/>
      <c r="F186" s="138"/>
      <c r="G186" s="330"/>
      <c r="H186" s="130"/>
      <c r="I186" s="137"/>
      <c r="J186" s="137"/>
      <c r="K186" s="139"/>
      <c r="L186" s="135"/>
      <c r="M186" s="137"/>
      <c r="N186" s="139"/>
      <c r="O186" s="328"/>
      <c r="P186" s="130"/>
    </row>
    <row r="187" spans="1:16" ht="31.5" x14ac:dyDescent="0.25">
      <c r="A187" s="140"/>
      <c r="B187" s="524" t="s">
        <v>975</v>
      </c>
      <c r="C187" s="137"/>
      <c r="D187" s="138"/>
      <c r="E187" s="138"/>
      <c r="F187" s="138"/>
      <c r="G187" s="330">
        <v>23000</v>
      </c>
      <c r="H187" s="130">
        <f t="shared" ref="H187" si="125">SUM(C187:G187)</f>
        <v>23000</v>
      </c>
      <c r="I187" s="137"/>
      <c r="J187" s="137"/>
      <c r="K187" s="139"/>
      <c r="L187" s="135">
        <f t="shared" ref="L187" si="126">SUM(I187:K187)</f>
        <v>0</v>
      </c>
      <c r="M187" s="137"/>
      <c r="N187" s="139"/>
      <c r="O187" s="328"/>
      <c r="P187" s="130">
        <f t="shared" ref="P187" si="127">O187+L187+H187</f>
        <v>23000</v>
      </c>
    </row>
    <row r="188" spans="1:16" x14ac:dyDescent="0.25">
      <c r="A188" s="140"/>
      <c r="B188" s="798" t="s">
        <v>974</v>
      </c>
      <c r="C188" s="137"/>
      <c r="D188" s="138"/>
      <c r="E188" s="138"/>
      <c r="F188" s="138"/>
      <c r="G188" s="330">
        <v>3000</v>
      </c>
      <c r="H188" s="130">
        <f t="shared" ref="H188" si="128">SUM(C188:G188)</f>
        <v>3000</v>
      </c>
      <c r="I188" s="137"/>
      <c r="J188" s="137"/>
      <c r="K188" s="139"/>
      <c r="L188" s="135">
        <f t="shared" ref="L188" si="129">SUM(I188:K188)</f>
        <v>0</v>
      </c>
      <c r="M188" s="137"/>
      <c r="N188" s="139"/>
      <c r="O188" s="328"/>
      <c r="P188" s="130">
        <f t="shared" ref="P188" si="130">O188+L188+H188</f>
        <v>3000</v>
      </c>
    </row>
    <row r="189" spans="1:16" x14ac:dyDescent="0.25">
      <c r="A189" s="140"/>
      <c r="B189" s="524" t="s">
        <v>1071</v>
      </c>
      <c r="C189" s="137"/>
      <c r="D189" s="138"/>
      <c r="E189" s="138"/>
      <c r="F189" s="138"/>
      <c r="G189" s="330">
        <v>500</v>
      </c>
      <c r="H189" s="130">
        <f t="shared" ref="H189" si="131">SUM(C189:G189)</f>
        <v>500</v>
      </c>
      <c r="I189" s="137"/>
      <c r="J189" s="137"/>
      <c r="K189" s="139"/>
      <c r="L189" s="135">
        <f t="shared" ref="L189" si="132">SUM(I189:K189)</f>
        <v>0</v>
      </c>
      <c r="M189" s="137"/>
      <c r="N189" s="139"/>
      <c r="O189" s="328"/>
      <c r="P189" s="130">
        <f t="shared" ref="P189" si="133">O189+L189+H189</f>
        <v>500</v>
      </c>
    </row>
    <row r="190" spans="1:16" x14ac:dyDescent="0.25">
      <c r="A190" s="140"/>
      <c r="B190" s="524"/>
      <c r="C190" s="137"/>
      <c r="D190" s="138"/>
      <c r="E190" s="138"/>
      <c r="F190" s="138"/>
      <c r="G190" s="330"/>
      <c r="H190" s="130"/>
      <c r="I190" s="137"/>
      <c r="J190" s="137"/>
      <c r="K190" s="139"/>
      <c r="L190" s="135"/>
      <c r="M190" s="137"/>
      <c r="N190" s="139"/>
      <c r="O190" s="328"/>
      <c r="P190" s="130"/>
    </row>
    <row r="191" spans="1:16" x14ac:dyDescent="0.25">
      <c r="A191" s="140" t="s">
        <v>130</v>
      </c>
      <c r="B191" s="757" t="s">
        <v>385</v>
      </c>
      <c r="C191" s="137"/>
      <c r="D191" s="138"/>
      <c r="E191" s="138"/>
      <c r="F191" s="138"/>
      <c r="G191" s="330"/>
      <c r="H191" s="130"/>
      <c r="I191" s="137"/>
      <c r="J191" s="137"/>
      <c r="K191" s="139"/>
      <c r="L191" s="135"/>
      <c r="M191" s="137"/>
      <c r="N191" s="139"/>
      <c r="O191" s="328"/>
      <c r="P191" s="130"/>
    </row>
    <row r="192" spans="1:16" x14ac:dyDescent="0.25">
      <c r="A192" s="140"/>
      <c r="B192" s="757" t="s">
        <v>132</v>
      </c>
      <c r="C192" s="137"/>
      <c r="D192" s="138"/>
      <c r="E192" s="138"/>
      <c r="F192" s="138"/>
      <c r="G192" s="330"/>
      <c r="H192" s="130"/>
      <c r="I192" s="137"/>
      <c r="J192" s="137"/>
      <c r="K192" s="139"/>
      <c r="L192" s="135"/>
      <c r="M192" s="137"/>
      <c r="N192" s="139"/>
      <c r="O192" s="328"/>
      <c r="P192" s="130"/>
    </row>
    <row r="193" spans="1:16" x14ac:dyDescent="0.25">
      <c r="A193" s="140"/>
      <c r="B193" s="531" t="s">
        <v>676</v>
      </c>
      <c r="C193" s="137"/>
      <c r="D193" s="138"/>
      <c r="E193" s="138"/>
      <c r="F193" s="138"/>
      <c r="G193" s="330"/>
      <c r="H193" s="130"/>
      <c r="I193" s="137"/>
      <c r="J193" s="137"/>
      <c r="K193" s="139"/>
      <c r="L193" s="135"/>
      <c r="M193" s="137"/>
      <c r="N193" s="139"/>
      <c r="O193" s="328"/>
      <c r="P193" s="130"/>
    </row>
    <row r="194" spans="1:16" ht="63" x14ac:dyDescent="0.25">
      <c r="A194" s="140"/>
      <c r="B194" s="524" t="s">
        <v>1055</v>
      </c>
      <c r="C194" s="137"/>
      <c r="D194" s="138"/>
      <c r="E194" s="138"/>
      <c r="F194" s="138"/>
      <c r="G194" s="330">
        <v>-50</v>
      </c>
      <c r="H194" s="135">
        <f t="shared" ref="H194" si="134">SUM(C194:G194)</f>
        <v>-50</v>
      </c>
      <c r="I194" s="137"/>
      <c r="J194" s="137"/>
      <c r="K194" s="139"/>
      <c r="L194" s="135">
        <f t="shared" ref="L194" si="135">SUM(I194:K194)</f>
        <v>0</v>
      </c>
      <c r="M194" s="137"/>
      <c r="N194" s="139"/>
      <c r="O194" s="328"/>
      <c r="P194" s="135">
        <f t="shared" ref="P194" si="136">O194+L194+H194</f>
        <v>-50</v>
      </c>
    </row>
    <row r="195" spans="1:16" ht="52.5" customHeight="1" x14ac:dyDescent="0.25">
      <c r="A195" s="140"/>
      <c r="B195" s="524" t="s">
        <v>1056</v>
      </c>
      <c r="C195" s="137"/>
      <c r="D195" s="138"/>
      <c r="E195" s="138"/>
      <c r="F195" s="138"/>
      <c r="G195" s="330">
        <v>-44</v>
      </c>
      <c r="H195" s="135">
        <f t="shared" ref="H195" si="137">SUM(C195:G195)</f>
        <v>-44</v>
      </c>
      <c r="I195" s="137"/>
      <c r="J195" s="137"/>
      <c r="K195" s="139"/>
      <c r="L195" s="135">
        <f t="shared" ref="L195" si="138">SUM(I195:K195)</f>
        <v>0</v>
      </c>
      <c r="M195" s="137"/>
      <c r="N195" s="139"/>
      <c r="O195" s="328"/>
      <c r="P195" s="135">
        <f t="shared" ref="P195" si="139">O195+L195+H195</f>
        <v>-44</v>
      </c>
    </row>
    <row r="196" spans="1:16" x14ac:dyDescent="0.25">
      <c r="A196" s="140"/>
      <c r="B196" s="524"/>
      <c r="C196" s="137"/>
      <c r="D196" s="138"/>
      <c r="E196" s="138"/>
      <c r="F196" s="138"/>
      <c r="G196" s="330"/>
      <c r="H196" s="130"/>
      <c r="I196" s="137"/>
      <c r="J196" s="137"/>
      <c r="K196" s="139"/>
      <c r="L196" s="135"/>
      <c r="M196" s="137"/>
      <c r="N196" s="139"/>
      <c r="O196" s="328"/>
      <c r="P196" s="130"/>
    </row>
    <row r="197" spans="1:16" x14ac:dyDescent="0.25">
      <c r="A197" s="140"/>
      <c r="B197" s="757" t="s">
        <v>133</v>
      </c>
      <c r="C197" s="137"/>
      <c r="D197" s="138"/>
      <c r="E197" s="138"/>
      <c r="F197" s="138"/>
      <c r="G197" s="330"/>
      <c r="H197" s="130"/>
      <c r="I197" s="137"/>
      <c r="J197" s="137"/>
      <c r="K197" s="139"/>
      <c r="L197" s="135"/>
      <c r="M197" s="137"/>
      <c r="N197" s="139"/>
      <c r="O197" s="328"/>
      <c r="P197" s="130"/>
    </row>
    <row r="198" spans="1:16" x14ac:dyDescent="0.25">
      <c r="A198" s="140"/>
      <c r="B198" s="531" t="s">
        <v>676</v>
      </c>
      <c r="C198" s="137"/>
      <c r="D198" s="138"/>
      <c r="E198" s="138"/>
      <c r="F198" s="138"/>
      <c r="G198" s="330"/>
      <c r="H198" s="130"/>
      <c r="I198" s="137"/>
      <c r="J198" s="137"/>
      <c r="K198" s="139"/>
      <c r="L198" s="135"/>
      <c r="M198" s="137"/>
      <c r="N198" s="139"/>
      <c r="O198" s="328"/>
      <c r="P198" s="130"/>
    </row>
    <row r="199" spans="1:16" ht="63" x14ac:dyDescent="0.25">
      <c r="A199" s="140"/>
      <c r="B199" s="524" t="s">
        <v>1062</v>
      </c>
      <c r="C199" s="137"/>
      <c r="D199" s="138"/>
      <c r="E199" s="138"/>
      <c r="F199" s="138"/>
      <c r="G199" s="330">
        <v>-50</v>
      </c>
      <c r="H199" s="130">
        <f t="shared" ref="H199:H206" si="140">SUM(C199:G199)</f>
        <v>-50</v>
      </c>
      <c r="I199" s="137"/>
      <c r="J199" s="137"/>
      <c r="K199" s="139"/>
      <c r="L199" s="135">
        <f t="shared" ref="L199:L206" si="141">SUM(I199:K199)</f>
        <v>0</v>
      </c>
      <c r="M199" s="137"/>
      <c r="N199" s="139"/>
      <c r="O199" s="328"/>
      <c r="P199" s="130">
        <f t="shared" ref="P199:P206" si="142">O199+L199+H199</f>
        <v>-50</v>
      </c>
    </row>
    <row r="200" spans="1:16" ht="69.75" customHeight="1" x14ac:dyDescent="0.25">
      <c r="A200" s="140"/>
      <c r="B200" s="524" t="s">
        <v>1063</v>
      </c>
      <c r="C200" s="137"/>
      <c r="D200" s="138"/>
      <c r="E200" s="138"/>
      <c r="F200" s="138"/>
      <c r="G200" s="330">
        <v>-50</v>
      </c>
      <c r="H200" s="130">
        <f t="shared" si="140"/>
        <v>-50</v>
      </c>
      <c r="I200" s="137"/>
      <c r="J200" s="137"/>
      <c r="K200" s="139"/>
      <c r="L200" s="135">
        <f t="shared" si="141"/>
        <v>0</v>
      </c>
      <c r="M200" s="137"/>
      <c r="N200" s="139"/>
      <c r="O200" s="328"/>
      <c r="P200" s="130">
        <f t="shared" si="142"/>
        <v>-50</v>
      </c>
    </row>
    <row r="201" spans="1:16" ht="72.75" customHeight="1" x14ac:dyDescent="0.25">
      <c r="A201" s="140"/>
      <c r="B201" s="524" t="s">
        <v>1064</v>
      </c>
      <c r="C201" s="137"/>
      <c r="D201" s="138"/>
      <c r="E201" s="138"/>
      <c r="F201" s="138"/>
      <c r="G201" s="330">
        <v>-58</v>
      </c>
      <c r="H201" s="130">
        <f t="shared" si="140"/>
        <v>-58</v>
      </c>
      <c r="I201" s="137"/>
      <c r="J201" s="137"/>
      <c r="K201" s="139"/>
      <c r="L201" s="135">
        <f t="shared" si="141"/>
        <v>0</v>
      </c>
      <c r="M201" s="137"/>
      <c r="N201" s="139"/>
      <c r="O201" s="328"/>
      <c r="P201" s="130">
        <f t="shared" si="142"/>
        <v>-58</v>
      </c>
    </row>
    <row r="202" spans="1:16" ht="43.5" customHeight="1" x14ac:dyDescent="0.25">
      <c r="A202" s="140"/>
      <c r="B202" s="524" t="s">
        <v>1065</v>
      </c>
      <c r="C202" s="137"/>
      <c r="D202" s="138"/>
      <c r="E202" s="138"/>
      <c r="F202" s="138"/>
      <c r="G202" s="330">
        <v>-200</v>
      </c>
      <c r="H202" s="130">
        <f t="shared" si="140"/>
        <v>-200</v>
      </c>
      <c r="I202" s="137"/>
      <c r="J202" s="137"/>
      <c r="K202" s="139"/>
      <c r="L202" s="135">
        <f t="shared" si="141"/>
        <v>0</v>
      </c>
      <c r="M202" s="137"/>
      <c r="N202" s="139"/>
      <c r="O202" s="328"/>
      <c r="P202" s="130">
        <f t="shared" si="142"/>
        <v>-200</v>
      </c>
    </row>
    <row r="203" spans="1:16" ht="54" customHeight="1" x14ac:dyDescent="0.25">
      <c r="A203" s="140"/>
      <c r="B203" s="524" t="s">
        <v>1066</v>
      </c>
      <c r="C203" s="137"/>
      <c r="D203" s="138"/>
      <c r="E203" s="138"/>
      <c r="F203" s="138"/>
      <c r="G203" s="330">
        <v>-100</v>
      </c>
      <c r="H203" s="130">
        <f t="shared" si="140"/>
        <v>-100</v>
      </c>
      <c r="I203" s="137"/>
      <c r="J203" s="137"/>
      <c r="K203" s="139"/>
      <c r="L203" s="135">
        <f t="shared" si="141"/>
        <v>0</v>
      </c>
      <c r="M203" s="137"/>
      <c r="N203" s="139"/>
      <c r="O203" s="328"/>
      <c r="P203" s="130">
        <f t="shared" si="142"/>
        <v>-100</v>
      </c>
    </row>
    <row r="204" spans="1:16" ht="40.5" customHeight="1" x14ac:dyDescent="0.25">
      <c r="A204" s="140"/>
      <c r="B204" s="524" t="s">
        <v>1067</v>
      </c>
      <c r="C204" s="137"/>
      <c r="D204" s="138"/>
      <c r="E204" s="138"/>
      <c r="F204" s="138"/>
      <c r="G204" s="330">
        <v>-100</v>
      </c>
      <c r="H204" s="130">
        <f t="shared" si="140"/>
        <v>-100</v>
      </c>
      <c r="I204" s="137"/>
      <c r="J204" s="137"/>
      <c r="K204" s="139"/>
      <c r="L204" s="135">
        <f t="shared" si="141"/>
        <v>0</v>
      </c>
      <c r="M204" s="137"/>
      <c r="N204" s="139"/>
      <c r="O204" s="328"/>
      <c r="P204" s="130">
        <f t="shared" si="142"/>
        <v>-100</v>
      </c>
    </row>
    <row r="205" spans="1:16" ht="66.75" customHeight="1" x14ac:dyDescent="0.25">
      <c r="A205" s="140"/>
      <c r="B205" s="524" t="s">
        <v>1055</v>
      </c>
      <c r="C205" s="137"/>
      <c r="D205" s="138"/>
      <c r="E205" s="138"/>
      <c r="F205" s="138"/>
      <c r="G205" s="330">
        <v>-30</v>
      </c>
      <c r="H205" s="130">
        <f t="shared" si="140"/>
        <v>-30</v>
      </c>
      <c r="I205" s="137"/>
      <c r="J205" s="137"/>
      <c r="K205" s="139"/>
      <c r="L205" s="135">
        <f t="shared" si="141"/>
        <v>0</v>
      </c>
      <c r="M205" s="137"/>
      <c r="N205" s="139"/>
      <c r="O205" s="328"/>
      <c r="P205" s="130">
        <f t="shared" si="142"/>
        <v>-30</v>
      </c>
    </row>
    <row r="206" spans="1:16" ht="53.25" customHeight="1" x14ac:dyDescent="0.25">
      <c r="A206" s="140"/>
      <c r="B206" s="524" t="s">
        <v>1068</v>
      </c>
      <c r="C206" s="137"/>
      <c r="D206" s="138"/>
      <c r="E206" s="138"/>
      <c r="F206" s="138"/>
      <c r="G206" s="330">
        <v>-20</v>
      </c>
      <c r="H206" s="130">
        <f t="shared" si="140"/>
        <v>-20</v>
      </c>
      <c r="I206" s="137"/>
      <c r="J206" s="137"/>
      <c r="K206" s="139"/>
      <c r="L206" s="135">
        <f t="shared" si="141"/>
        <v>0</v>
      </c>
      <c r="M206" s="137"/>
      <c r="N206" s="139"/>
      <c r="O206" s="328"/>
      <c r="P206" s="130">
        <f t="shared" si="142"/>
        <v>-20</v>
      </c>
    </row>
    <row r="207" spans="1:16" ht="16.5" thickBot="1" x14ac:dyDescent="0.3">
      <c r="A207" s="140"/>
      <c r="B207" s="524"/>
      <c r="C207" s="137"/>
      <c r="D207" s="138"/>
      <c r="E207" s="138"/>
      <c r="F207" s="138"/>
      <c r="G207" s="330"/>
      <c r="H207" s="130"/>
      <c r="I207" s="137"/>
      <c r="J207" s="137"/>
      <c r="K207" s="139"/>
      <c r="L207" s="135"/>
      <c r="M207" s="137"/>
      <c r="N207" s="139"/>
      <c r="O207" s="328"/>
      <c r="P207" s="130"/>
    </row>
    <row r="208" spans="1:16" ht="16.5" thickBot="1" x14ac:dyDescent="0.3">
      <c r="A208" s="149" t="s">
        <v>45</v>
      </c>
      <c r="B208" s="150" t="s">
        <v>46</v>
      </c>
      <c r="C208" s="151">
        <f t="shared" ref="C208:P208" si="143">SUM(C10:C207)</f>
        <v>253040</v>
      </c>
      <c r="D208" s="151">
        <f t="shared" si="143"/>
        <v>82492</v>
      </c>
      <c r="E208" s="151">
        <f t="shared" si="143"/>
        <v>5730882</v>
      </c>
      <c r="F208" s="151">
        <f t="shared" si="143"/>
        <v>60261</v>
      </c>
      <c r="G208" s="151">
        <f t="shared" si="143"/>
        <v>6485843</v>
      </c>
      <c r="H208" s="151">
        <f t="shared" si="143"/>
        <v>12612518</v>
      </c>
      <c r="I208" s="151">
        <f t="shared" si="143"/>
        <v>19554667</v>
      </c>
      <c r="J208" s="151">
        <f t="shared" si="143"/>
        <v>1750897</v>
      </c>
      <c r="K208" s="151">
        <f t="shared" si="143"/>
        <v>401368</v>
      </c>
      <c r="L208" s="151">
        <f t="shared" si="143"/>
        <v>21706932</v>
      </c>
      <c r="M208" s="151">
        <f t="shared" si="143"/>
        <v>22317</v>
      </c>
      <c r="N208" s="151">
        <f t="shared" si="143"/>
        <v>6551787</v>
      </c>
      <c r="O208" s="151">
        <f t="shared" si="143"/>
        <v>6574104</v>
      </c>
      <c r="P208" s="151">
        <f t="shared" si="143"/>
        <v>40893554</v>
      </c>
    </row>
    <row r="209" spans="1:16" x14ac:dyDescent="0.25">
      <c r="A209" s="152"/>
      <c r="B209" s="153" t="s">
        <v>107</v>
      </c>
      <c r="C209" s="132"/>
      <c r="D209" s="133"/>
      <c r="E209" s="133"/>
      <c r="F209" s="134"/>
      <c r="G209" s="134"/>
      <c r="H209" s="130"/>
      <c r="I209" s="132"/>
      <c r="J209" s="132"/>
      <c r="K209" s="134"/>
      <c r="L209" s="130"/>
      <c r="M209" s="127"/>
      <c r="N209" s="134"/>
      <c r="O209" s="327"/>
      <c r="P209" s="130"/>
    </row>
    <row r="210" spans="1:16" x14ac:dyDescent="0.25">
      <c r="A210" s="152"/>
      <c r="B210" s="759" t="s">
        <v>822</v>
      </c>
      <c r="C210" s="132"/>
      <c r="D210" s="133"/>
      <c r="E210" s="133"/>
      <c r="F210" s="134"/>
      <c r="G210" s="134"/>
      <c r="H210" s="130"/>
      <c r="I210" s="132"/>
      <c r="J210" s="132"/>
      <c r="K210" s="134"/>
      <c r="L210" s="130"/>
      <c r="M210" s="518">
        <v>151108</v>
      </c>
      <c r="N210" s="134"/>
      <c r="O210" s="327">
        <f t="shared" ref="O210:O211" si="144">SUM(M210:N210)</f>
        <v>151108</v>
      </c>
      <c r="P210" s="130">
        <f>SUM(O210)</f>
        <v>151108</v>
      </c>
    </row>
    <row r="211" spans="1:16" s="521" customFormat="1" ht="31.5" x14ac:dyDescent="0.25">
      <c r="A211" s="526"/>
      <c r="B211" s="908" t="s">
        <v>868</v>
      </c>
      <c r="C211" s="518"/>
      <c r="D211" s="528"/>
      <c r="E211" s="528"/>
      <c r="F211" s="529"/>
      <c r="G211" s="529"/>
      <c r="H211" s="530"/>
      <c r="I211" s="518"/>
      <c r="J211" s="518"/>
      <c r="K211" s="529"/>
      <c r="L211" s="530"/>
      <c r="M211" s="518">
        <v>63500</v>
      </c>
      <c r="N211" s="529"/>
      <c r="O211" s="530">
        <f t="shared" si="144"/>
        <v>63500</v>
      </c>
      <c r="P211" s="530">
        <f>SUM(O211+L211+H211)</f>
        <v>63500</v>
      </c>
    </row>
    <row r="212" spans="1:16" s="521" customFormat="1" ht="31.5" x14ac:dyDescent="0.25">
      <c r="A212" s="526"/>
      <c r="B212" s="531" t="s">
        <v>644</v>
      </c>
      <c r="C212" s="518"/>
      <c r="D212" s="528"/>
      <c r="E212" s="528"/>
      <c r="F212" s="529"/>
      <c r="G212" s="529"/>
      <c r="H212" s="530"/>
      <c r="I212" s="518"/>
      <c r="J212" s="518"/>
      <c r="K212" s="529"/>
      <c r="L212" s="530"/>
      <c r="M212" s="518"/>
      <c r="N212" s="529"/>
      <c r="O212" s="530"/>
      <c r="P212" s="530"/>
    </row>
    <row r="213" spans="1:16" s="521" customFormat="1" ht="39" customHeight="1" x14ac:dyDescent="0.25">
      <c r="A213" s="526"/>
      <c r="B213" s="532" t="s">
        <v>969</v>
      </c>
      <c r="C213" s="518"/>
      <c r="D213" s="528"/>
      <c r="E213" s="528"/>
      <c r="F213" s="529"/>
      <c r="G213" s="529"/>
      <c r="H213" s="530"/>
      <c r="I213" s="518"/>
      <c r="J213" s="518"/>
      <c r="K213" s="529"/>
      <c r="L213" s="530"/>
      <c r="M213" s="518">
        <v>-2500</v>
      </c>
      <c r="N213" s="529"/>
      <c r="O213" s="530">
        <f t="shared" ref="O213:O218" si="145">SUM(M213:N213)</f>
        <v>-2500</v>
      </c>
      <c r="P213" s="530">
        <f>SUM(O213)</f>
        <v>-2500</v>
      </c>
    </row>
    <row r="214" spans="1:16" s="521" customFormat="1" ht="90.75" customHeight="1" x14ac:dyDescent="0.25">
      <c r="A214" s="526"/>
      <c r="B214" s="532" t="s">
        <v>1199</v>
      </c>
      <c r="C214" s="518"/>
      <c r="D214" s="528"/>
      <c r="E214" s="528"/>
      <c r="F214" s="529"/>
      <c r="G214" s="529"/>
      <c r="H214" s="530"/>
      <c r="I214" s="518"/>
      <c r="J214" s="518"/>
      <c r="K214" s="529"/>
      <c r="L214" s="530"/>
      <c r="M214" s="518">
        <v>-4000</v>
      </c>
      <c r="N214" s="529"/>
      <c r="O214" s="530">
        <f t="shared" ref="O214" si="146">SUM(M214:N214)</f>
        <v>-4000</v>
      </c>
      <c r="P214" s="530">
        <f>SUM(O214)</f>
        <v>-4000</v>
      </c>
    </row>
    <row r="215" spans="1:16" s="521" customFormat="1" ht="31.5" x14ac:dyDescent="0.25">
      <c r="A215" s="526"/>
      <c r="B215" s="532" t="s">
        <v>975</v>
      </c>
      <c r="C215" s="518"/>
      <c r="D215" s="528"/>
      <c r="E215" s="528"/>
      <c r="F215" s="529"/>
      <c r="G215" s="529"/>
      <c r="H215" s="530"/>
      <c r="I215" s="518"/>
      <c r="J215" s="518"/>
      <c r="K215" s="529"/>
      <c r="L215" s="530"/>
      <c r="M215" s="518">
        <v>-23000</v>
      </c>
      <c r="N215" s="529"/>
      <c r="O215" s="530">
        <f t="shared" si="145"/>
        <v>-23000</v>
      </c>
      <c r="P215" s="530">
        <f t="shared" ref="P215:P218" si="147">SUM(O215+L215+H215)</f>
        <v>-23000</v>
      </c>
    </row>
    <row r="216" spans="1:16" s="521" customFormat="1" x14ac:dyDescent="0.25">
      <c r="A216" s="526"/>
      <c r="B216" s="527" t="s">
        <v>974</v>
      </c>
      <c r="C216" s="518"/>
      <c r="D216" s="528"/>
      <c r="E216" s="528"/>
      <c r="F216" s="529"/>
      <c r="G216" s="529"/>
      <c r="H216" s="530"/>
      <c r="I216" s="518"/>
      <c r="J216" s="518"/>
      <c r="K216" s="529"/>
      <c r="L216" s="530"/>
      <c r="M216" s="518">
        <v>-3000</v>
      </c>
      <c r="N216" s="529"/>
      <c r="O216" s="530">
        <f t="shared" si="145"/>
        <v>-3000</v>
      </c>
      <c r="P216" s="530">
        <f t="shared" si="147"/>
        <v>-3000</v>
      </c>
    </row>
    <row r="217" spans="1:16" s="521" customFormat="1" ht="18" customHeight="1" x14ac:dyDescent="0.25">
      <c r="A217" s="526"/>
      <c r="B217" s="803" t="s">
        <v>976</v>
      </c>
      <c r="C217" s="518"/>
      <c r="D217" s="528"/>
      <c r="E217" s="528"/>
      <c r="F217" s="529"/>
      <c r="G217" s="529"/>
      <c r="H217" s="530"/>
      <c r="I217" s="518"/>
      <c r="J217" s="518"/>
      <c r="K217" s="529"/>
      <c r="L217" s="530"/>
      <c r="M217" s="518">
        <v>-5000</v>
      </c>
      <c r="N217" s="529"/>
      <c r="O217" s="530">
        <f t="shared" si="145"/>
        <v>-5000</v>
      </c>
      <c r="P217" s="530">
        <f t="shared" si="147"/>
        <v>-5000</v>
      </c>
    </row>
    <row r="218" spans="1:16" s="521" customFormat="1" x14ac:dyDescent="0.25">
      <c r="A218" s="526"/>
      <c r="B218" s="527" t="s">
        <v>977</v>
      </c>
      <c r="C218" s="518"/>
      <c r="D218" s="528"/>
      <c r="E218" s="528"/>
      <c r="F218" s="529"/>
      <c r="G218" s="529"/>
      <c r="H218" s="530"/>
      <c r="I218" s="518"/>
      <c r="J218" s="518"/>
      <c r="K218" s="529"/>
      <c r="L218" s="530"/>
      <c r="M218" s="518">
        <v>-20000</v>
      </c>
      <c r="N218" s="529"/>
      <c r="O218" s="530">
        <f t="shared" si="145"/>
        <v>-20000</v>
      </c>
      <c r="P218" s="530">
        <f t="shared" si="147"/>
        <v>-20000</v>
      </c>
    </row>
    <row r="219" spans="1:16" s="521" customFormat="1" ht="51" customHeight="1" x14ac:dyDescent="0.25">
      <c r="A219" s="526"/>
      <c r="B219" s="527" t="s">
        <v>978</v>
      </c>
      <c r="C219" s="518"/>
      <c r="D219" s="528"/>
      <c r="E219" s="528"/>
      <c r="F219" s="529"/>
      <c r="G219" s="529"/>
      <c r="H219" s="530"/>
      <c r="I219" s="518"/>
      <c r="J219" s="518"/>
      <c r="K219" s="529"/>
      <c r="L219" s="530"/>
      <c r="M219" s="518">
        <v>-2000</v>
      </c>
      <c r="N219" s="529"/>
      <c r="O219" s="530">
        <f t="shared" ref="O219" si="148">SUM(M219:N219)</f>
        <v>-2000</v>
      </c>
      <c r="P219" s="530">
        <f t="shared" ref="P219" si="149">SUM(O219+L219+H219)</f>
        <v>-2000</v>
      </c>
    </row>
    <row r="220" spans="1:16" s="521" customFormat="1" ht="36.75" customHeight="1" x14ac:dyDescent="0.25">
      <c r="A220" s="526"/>
      <c r="B220" s="527" t="s">
        <v>985</v>
      </c>
      <c r="C220" s="518"/>
      <c r="D220" s="528"/>
      <c r="E220" s="528"/>
      <c r="F220" s="529"/>
      <c r="G220" s="529"/>
      <c r="H220" s="530"/>
      <c r="I220" s="518"/>
      <c r="J220" s="518"/>
      <c r="K220" s="529"/>
      <c r="L220" s="530"/>
      <c r="M220" s="518">
        <v>-18450</v>
      </c>
      <c r="N220" s="529"/>
      <c r="O220" s="530">
        <f t="shared" ref="O220:O226" si="150">SUM(M220:N220)</f>
        <v>-18450</v>
      </c>
      <c r="P220" s="530">
        <f t="shared" ref="P220:P226" si="151">SUM(O220+L220+H220)</f>
        <v>-18450</v>
      </c>
    </row>
    <row r="221" spans="1:16" s="521" customFormat="1" ht="70.5" customHeight="1" x14ac:dyDescent="0.25">
      <c r="A221" s="526"/>
      <c r="B221" s="803" t="s">
        <v>1061</v>
      </c>
      <c r="C221" s="518"/>
      <c r="D221" s="528"/>
      <c r="E221" s="528"/>
      <c r="F221" s="529"/>
      <c r="G221" s="529"/>
      <c r="H221" s="530"/>
      <c r="I221" s="518"/>
      <c r="J221" s="518"/>
      <c r="K221" s="529"/>
      <c r="L221" s="530"/>
      <c r="M221" s="518">
        <v>-1880</v>
      </c>
      <c r="N221" s="529"/>
      <c r="O221" s="530">
        <f t="shared" si="150"/>
        <v>-1880</v>
      </c>
      <c r="P221" s="530">
        <f t="shared" si="151"/>
        <v>-1880</v>
      </c>
    </row>
    <row r="222" spans="1:16" s="521" customFormat="1" ht="21" customHeight="1" x14ac:dyDescent="0.25">
      <c r="A222" s="526"/>
      <c r="B222" s="803" t="s">
        <v>1070</v>
      </c>
      <c r="C222" s="518"/>
      <c r="D222" s="528"/>
      <c r="E222" s="528"/>
      <c r="F222" s="529"/>
      <c r="G222" s="529"/>
      <c r="H222" s="530"/>
      <c r="I222" s="518"/>
      <c r="J222" s="518"/>
      <c r="K222" s="529"/>
      <c r="L222" s="530"/>
      <c r="M222" s="518">
        <v>-500</v>
      </c>
      <c r="N222" s="529"/>
      <c r="O222" s="530">
        <f t="shared" si="150"/>
        <v>-500</v>
      </c>
      <c r="P222" s="530">
        <f t="shared" si="151"/>
        <v>-500</v>
      </c>
    </row>
    <row r="223" spans="1:16" s="521" customFormat="1" ht="36.75" customHeight="1" x14ac:dyDescent="0.25">
      <c r="A223" s="526"/>
      <c r="B223" s="527" t="s">
        <v>1073</v>
      </c>
      <c r="C223" s="518"/>
      <c r="D223" s="528"/>
      <c r="E223" s="528"/>
      <c r="F223" s="529"/>
      <c r="G223" s="529"/>
      <c r="H223" s="530"/>
      <c r="I223" s="518"/>
      <c r="J223" s="518"/>
      <c r="K223" s="529"/>
      <c r="L223" s="530"/>
      <c r="M223" s="518">
        <v>-1600</v>
      </c>
      <c r="N223" s="529"/>
      <c r="O223" s="530">
        <f t="shared" si="150"/>
        <v>-1600</v>
      </c>
      <c r="P223" s="530">
        <f t="shared" si="151"/>
        <v>-1600</v>
      </c>
    </row>
    <row r="224" spans="1:16" s="521" customFormat="1" ht="54.75" customHeight="1" x14ac:dyDescent="0.25">
      <c r="A224" s="526"/>
      <c r="B224" s="527" t="s">
        <v>1077</v>
      </c>
      <c r="C224" s="518"/>
      <c r="D224" s="528"/>
      <c r="E224" s="528"/>
      <c r="F224" s="529"/>
      <c r="G224" s="529"/>
      <c r="H224" s="530"/>
      <c r="I224" s="518"/>
      <c r="J224" s="518"/>
      <c r="K224" s="529"/>
      <c r="L224" s="530"/>
      <c r="M224" s="518">
        <v>-2500</v>
      </c>
      <c r="N224" s="529"/>
      <c r="O224" s="530">
        <f t="shared" si="150"/>
        <v>-2500</v>
      </c>
      <c r="P224" s="530">
        <f t="shared" si="151"/>
        <v>-2500</v>
      </c>
    </row>
    <row r="225" spans="1:16" s="794" customFormat="1" x14ac:dyDescent="0.25">
      <c r="A225" s="790"/>
      <c r="B225" s="803" t="s">
        <v>1078</v>
      </c>
      <c r="C225" s="791"/>
      <c r="D225" s="929"/>
      <c r="E225" s="929"/>
      <c r="F225" s="930"/>
      <c r="G225" s="930"/>
      <c r="H225" s="793"/>
      <c r="I225" s="791"/>
      <c r="J225" s="791"/>
      <c r="K225" s="930"/>
      <c r="L225" s="793"/>
      <c r="M225" s="791">
        <v>-25000</v>
      </c>
      <c r="N225" s="930"/>
      <c r="O225" s="793">
        <f t="shared" si="150"/>
        <v>-25000</v>
      </c>
      <c r="P225" s="793">
        <f t="shared" si="151"/>
        <v>-25000</v>
      </c>
    </row>
    <row r="226" spans="1:16" s="521" customFormat="1" ht="31.5" x14ac:dyDescent="0.25">
      <c r="A226" s="526"/>
      <c r="B226" s="527" t="s">
        <v>1104</v>
      </c>
      <c r="C226" s="518"/>
      <c r="D226" s="528"/>
      <c r="E226" s="528"/>
      <c r="F226" s="529"/>
      <c r="G226" s="529"/>
      <c r="H226" s="530"/>
      <c r="I226" s="518"/>
      <c r="J226" s="518"/>
      <c r="K226" s="529"/>
      <c r="L226" s="530"/>
      <c r="M226" s="518">
        <v>-1942</v>
      </c>
      <c r="N226" s="529"/>
      <c r="O226" s="530">
        <f t="shared" si="150"/>
        <v>-1942</v>
      </c>
      <c r="P226" s="530">
        <f t="shared" si="151"/>
        <v>-1942</v>
      </c>
    </row>
    <row r="227" spans="1:16" s="521" customFormat="1" x14ac:dyDescent="0.25">
      <c r="A227" s="780"/>
      <c r="B227" s="525" t="s">
        <v>676</v>
      </c>
      <c r="C227" s="519"/>
      <c r="D227" s="781"/>
      <c r="E227" s="781"/>
      <c r="F227" s="523"/>
      <c r="G227" s="523"/>
      <c r="H227" s="520"/>
      <c r="I227" s="519"/>
      <c r="J227" s="519"/>
      <c r="K227" s="523"/>
      <c r="L227" s="520"/>
      <c r="M227" s="519"/>
      <c r="N227" s="523"/>
      <c r="O227" s="520"/>
      <c r="P227" s="520">
        <f t="shared" ref="P227" si="152">SUM(O227+L227+H227)</f>
        <v>0</v>
      </c>
    </row>
    <row r="228" spans="1:16" s="521" customFormat="1" ht="34.5" customHeight="1" x14ac:dyDescent="0.25">
      <c r="A228" s="780"/>
      <c r="B228" s="146" t="s">
        <v>1053</v>
      </c>
      <c r="C228" s="519"/>
      <c r="D228" s="781"/>
      <c r="E228" s="781"/>
      <c r="F228" s="523"/>
      <c r="G228" s="523"/>
      <c r="H228" s="520"/>
      <c r="I228" s="519"/>
      <c r="J228" s="519"/>
      <c r="K228" s="523"/>
      <c r="L228" s="520"/>
      <c r="M228" s="519">
        <v>-713</v>
      </c>
      <c r="N228" s="523"/>
      <c r="O228" s="520">
        <f t="shared" ref="O228:O229" si="153">SUM(M228:N228)</f>
        <v>-713</v>
      </c>
      <c r="P228" s="520">
        <f t="shared" ref="P228:P229" si="154">SUM(O228+L228+H228)</f>
        <v>-713</v>
      </c>
    </row>
    <row r="229" spans="1:16" s="521" customFormat="1" ht="33.75" customHeight="1" x14ac:dyDescent="0.25">
      <c r="A229" s="526"/>
      <c r="B229" s="146" t="s">
        <v>1054</v>
      </c>
      <c r="C229" s="518"/>
      <c r="D229" s="528"/>
      <c r="E229" s="528"/>
      <c r="F229" s="529"/>
      <c r="G229" s="529"/>
      <c r="H229" s="530"/>
      <c r="I229" s="518"/>
      <c r="J229" s="518"/>
      <c r="K229" s="529"/>
      <c r="L229" s="530"/>
      <c r="M229" s="518">
        <v>-20000</v>
      </c>
      <c r="N229" s="529"/>
      <c r="O229" s="520">
        <f t="shared" si="153"/>
        <v>-20000</v>
      </c>
      <c r="P229" s="520">
        <f t="shared" si="154"/>
        <v>-20000</v>
      </c>
    </row>
    <row r="230" spans="1:16" s="521" customFormat="1" x14ac:dyDescent="0.25">
      <c r="A230" s="526"/>
      <c r="B230" s="531"/>
      <c r="C230" s="518"/>
      <c r="D230" s="528"/>
      <c r="E230" s="528"/>
      <c r="F230" s="529"/>
      <c r="G230" s="529"/>
      <c r="H230" s="530"/>
      <c r="I230" s="518"/>
      <c r="J230" s="518"/>
      <c r="K230" s="529"/>
      <c r="L230" s="530"/>
      <c r="M230" s="518"/>
      <c r="N230" s="529"/>
      <c r="O230" s="530"/>
      <c r="P230" s="530"/>
    </row>
    <row r="231" spans="1:16" x14ac:dyDescent="0.25">
      <c r="A231" s="136"/>
      <c r="B231" s="129" t="s">
        <v>47</v>
      </c>
      <c r="C231" s="137"/>
      <c r="D231" s="138"/>
      <c r="E231" s="138"/>
      <c r="F231" s="139"/>
      <c r="G231" s="139"/>
      <c r="H231" s="135"/>
      <c r="I231" s="137"/>
      <c r="J231" s="137"/>
      <c r="K231" s="139"/>
      <c r="L231" s="135"/>
      <c r="M231" s="137"/>
      <c r="N231" s="142"/>
      <c r="O231" s="135"/>
      <c r="P231" s="130"/>
    </row>
    <row r="232" spans="1:16" x14ac:dyDescent="0.25">
      <c r="A232" s="136"/>
      <c r="B232" s="770" t="s">
        <v>822</v>
      </c>
      <c r="C232" s="137"/>
      <c r="D232" s="138"/>
      <c r="E232" s="138"/>
      <c r="F232" s="139"/>
      <c r="G232" s="139"/>
      <c r="H232" s="135"/>
      <c r="I232" s="137"/>
      <c r="J232" s="137"/>
      <c r="K232" s="139"/>
      <c r="L232" s="135"/>
      <c r="M232" s="137"/>
      <c r="N232" s="142"/>
      <c r="O232" s="135"/>
      <c r="P232" s="130"/>
    </row>
    <row r="233" spans="1:16" ht="35.25" customHeight="1" x14ac:dyDescent="0.25">
      <c r="A233" s="136"/>
      <c r="B233" s="769" t="s">
        <v>823</v>
      </c>
      <c r="C233" s="137"/>
      <c r="D233" s="138"/>
      <c r="E233" s="138"/>
      <c r="F233" s="139"/>
      <c r="G233" s="139"/>
      <c r="H233" s="135"/>
      <c r="I233" s="137"/>
      <c r="J233" s="137"/>
      <c r="K233" s="139"/>
      <c r="L233" s="135"/>
      <c r="M233" s="137"/>
      <c r="N233" s="523">
        <v>19167</v>
      </c>
      <c r="O233" s="328">
        <f t="shared" ref="O233:O235" si="155">SUM(M233:N233)</f>
        <v>19167</v>
      </c>
      <c r="P233" s="130">
        <f t="shared" ref="P233:P235" si="156">SUM(O233)</f>
        <v>19167</v>
      </c>
    </row>
    <row r="234" spans="1:16" ht="82.5" customHeight="1" x14ac:dyDescent="0.25">
      <c r="A234" s="136"/>
      <c r="B234" s="769" t="s">
        <v>979</v>
      </c>
      <c r="C234" s="137"/>
      <c r="D234" s="138"/>
      <c r="E234" s="138"/>
      <c r="F234" s="139"/>
      <c r="G234" s="139"/>
      <c r="H234" s="135"/>
      <c r="I234" s="137"/>
      <c r="J234" s="137"/>
      <c r="K234" s="139"/>
      <c r="L234" s="135"/>
      <c r="M234" s="137"/>
      <c r="N234" s="767">
        <v>7000</v>
      </c>
      <c r="O234" s="328">
        <f t="shared" si="155"/>
        <v>7000</v>
      </c>
      <c r="P234" s="130">
        <f t="shared" si="156"/>
        <v>7000</v>
      </c>
    </row>
    <row r="235" spans="1:16" ht="36.75" customHeight="1" x14ac:dyDescent="0.25">
      <c r="A235" s="136"/>
      <c r="B235" s="769" t="s">
        <v>843</v>
      </c>
      <c r="C235" s="137"/>
      <c r="D235" s="138"/>
      <c r="E235" s="138"/>
      <c r="F235" s="139"/>
      <c r="G235" s="139"/>
      <c r="H235" s="135"/>
      <c r="I235" s="137"/>
      <c r="J235" s="137"/>
      <c r="K235" s="139"/>
      <c r="L235" s="135"/>
      <c r="M235" s="137"/>
      <c r="N235" s="767">
        <v>7654</v>
      </c>
      <c r="O235" s="328">
        <f t="shared" si="155"/>
        <v>7654</v>
      </c>
      <c r="P235" s="130">
        <f t="shared" si="156"/>
        <v>7654</v>
      </c>
    </row>
    <row r="236" spans="1:16" ht="31.5" x14ac:dyDescent="0.25">
      <c r="A236" s="136"/>
      <c r="B236" s="531" t="s">
        <v>644</v>
      </c>
      <c r="C236" s="137"/>
      <c r="D236" s="138"/>
      <c r="E236" s="138"/>
      <c r="F236" s="139"/>
      <c r="G236" s="139"/>
      <c r="H236" s="135"/>
      <c r="I236" s="137"/>
      <c r="J236" s="137"/>
      <c r="K236" s="139"/>
      <c r="L236" s="135"/>
      <c r="M236" s="137"/>
      <c r="N236" s="753"/>
      <c r="O236" s="328"/>
      <c r="P236" s="130"/>
    </row>
    <row r="237" spans="1:16" s="756" customFormat="1" ht="58.5" customHeight="1" x14ac:dyDescent="0.25">
      <c r="A237" s="928"/>
      <c r="B237" s="909" t="s">
        <v>1192</v>
      </c>
      <c r="C237" s="751"/>
      <c r="D237" s="147"/>
      <c r="E237" s="147"/>
      <c r="F237" s="753"/>
      <c r="G237" s="753"/>
      <c r="H237" s="754"/>
      <c r="I237" s="751"/>
      <c r="J237" s="751"/>
      <c r="K237" s="753"/>
      <c r="L237" s="754"/>
      <c r="M237" s="751"/>
      <c r="N237" s="753">
        <f>-222250+600000</f>
        <v>377750</v>
      </c>
      <c r="O237" s="755">
        <f>SUM(M237:N237)</f>
        <v>377750</v>
      </c>
      <c r="P237" s="754">
        <f>SUM(O237)</f>
        <v>377750</v>
      </c>
    </row>
    <row r="238" spans="1:16" s="521" customFormat="1" ht="55.5" customHeight="1" x14ac:dyDescent="0.25">
      <c r="A238" s="780"/>
      <c r="B238" s="146" t="s">
        <v>1103</v>
      </c>
      <c r="C238" s="519"/>
      <c r="D238" s="781"/>
      <c r="E238" s="781"/>
      <c r="F238" s="523"/>
      <c r="G238" s="523"/>
      <c r="H238" s="520"/>
      <c r="I238" s="519"/>
      <c r="J238" s="519"/>
      <c r="K238" s="523"/>
      <c r="L238" s="520"/>
      <c r="M238" s="519"/>
      <c r="N238" s="523">
        <v>-1000</v>
      </c>
      <c r="O238" s="520">
        <f>SUM(M238:N238)</f>
        <v>-1000</v>
      </c>
      <c r="P238" s="520">
        <f>SUM(O238+L238+H238)</f>
        <v>-1000</v>
      </c>
    </row>
    <row r="239" spans="1:16" s="521" customFormat="1" ht="55.5" customHeight="1" x14ac:dyDescent="0.25">
      <c r="A239" s="526"/>
      <c r="B239" s="146" t="s">
        <v>1195</v>
      </c>
      <c r="C239" s="518"/>
      <c r="D239" s="528"/>
      <c r="E239" s="528"/>
      <c r="F239" s="529"/>
      <c r="G239" s="529"/>
      <c r="H239" s="530"/>
      <c r="I239" s="518"/>
      <c r="J239" s="518"/>
      <c r="K239" s="529"/>
      <c r="L239" s="530"/>
      <c r="M239" s="518"/>
      <c r="N239" s="529">
        <v>-1000</v>
      </c>
      <c r="O239" s="530">
        <f>SUM(M239:N239)</f>
        <v>-1000</v>
      </c>
      <c r="P239" s="530">
        <f>SUM(O239+L239+H239)</f>
        <v>-1000</v>
      </c>
    </row>
    <row r="240" spans="1:16" s="521" customFormat="1" ht="75.75" customHeight="1" x14ac:dyDescent="0.25">
      <c r="A240" s="526"/>
      <c r="B240" s="527" t="s">
        <v>1105</v>
      </c>
      <c r="C240" s="518"/>
      <c r="D240" s="528"/>
      <c r="E240" s="528"/>
      <c r="F240" s="529"/>
      <c r="G240" s="529"/>
      <c r="H240" s="530"/>
      <c r="I240" s="518"/>
      <c r="J240" s="518"/>
      <c r="K240" s="529"/>
      <c r="L240" s="530"/>
      <c r="M240" s="518"/>
      <c r="N240" s="529">
        <v>-5000</v>
      </c>
      <c r="O240" s="530">
        <f>SUM(M240:N240)</f>
        <v>-5000</v>
      </c>
      <c r="P240" s="530">
        <f>SUM(O240+L240+H240)</f>
        <v>-5000</v>
      </c>
    </row>
    <row r="241" spans="1:16" ht="51.75" customHeight="1" x14ac:dyDescent="0.25">
      <c r="A241" s="763"/>
      <c r="B241" s="801" t="s">
        <v>951</v>
      </c>
      <c r="C241" s="156"/>
      <c r="D241" s="157"/>
      <c r="E241" s="157"/>
      <c r="F241" s="158"/>
      <c r="G241" s="158"/>
      <c r="H241" s="159"/>
      <c r="I241" s="156"/>
      <c r="J241" s="156"/>
      <c r="K241" s="158"/>
      <c r="L241" s="159"/>
      <c r="M241" s="156"/>
      <c r="N241" s="158">
        <v>-15000</v>
      </c>
      <c r="O241" s="328">
        <f t="shared" ref="O241:O245" si="157">SUM(M241:N241)</f>
        <v>-15000</v>
      </c>
      <c r="P241" s="130">
        <f t="shared" ref="P241:P245" si="158">SUM(O241)</f>
        <v>-15000</v>
      </c>
    </row>
    <row r="242" spans="1:16" ht="102.75" customHeight="1" x14ac:dyDescent="0.25">
      <c r="A242" s="136"/>
      <c r="B242" s="909" t="s">
        <v>987</v>
      </c>
      <c r="C242" s="137"/>
      <c r="D242" s="138"/>
      <c r="E242" s="138"/>
      <c r="F242" s="139"/>
      <c r="G242" s="139"/>
      <c r="H242" s="135"/>
      <c r="I242" s="137"/>
      <c r="J242" s="137"/>
      <c r="K242" s="139"/>
      <c r="L242" s="135"/>
      <c r="M242" s="137"/>
      <c r="N242" s="139">
        <v>-2500</v>
      </c>
      <c r="O242" s="328">
        <f t="shared" si="157"/>
        <v>-2500</v>
      </c>
      <c r="P242" s="135">
        <f t="shared" si="158"/>
        <v>-2500</v>
      </c>
    </row>
    <row r="243" spans="1:16" ht="87" customHeight="1" x14ac:dyDescent="0.25">
      <c r="A243" s="136"/>
      <c r="B243" s="909" t="s">
        <v>991</v>
      </c>
      <c r="C243" s="137"/>
      <c r="D243" s="138"/>
      <c r="E243" s="138"/>
      <c r="F243" s="139"/>
      <c r="G243" s="139"/>
      <c r="H243" s="135"/>
      <c r="I243" s="137"/>
      <c r="J243" s="137"/>
      <c r="K243" s="139"/>
      <c r="L243" s="135"/>
      <c r="M243" s="137"/>
      <c r="N243" s="139">
        <v>-6500</v>
      </c>
      <c r="O243" s="328">
        <f t="shared" si="157"/>
        <v>-6500</v>
      </c>
      <c r="P243" s="135">
        <f t="shared" si="158"/>
        <v>-6500</v>
      </c>
    </row>
    <row r="244" spans="1:16" ht="126" customHeight="1" x14ac:dyDescent="0.25">
      <c r="A244" s="763"/>
      <c r="B244" s="801" t="s">
        <v>998</v>
      </c>
      <c r="C244" s="156"/>
      <c r="D244" s="157"/>
      <c r="E244" s="157"/>
      <c r="F244" s="158"/>
      <c r="G244" s="158"/>
      <c r="H244" s="159"/>
      <c r="I244" s="156"/>
      <c r="J244" s="156"/>
      <c r="K244" s="158"/>
      <c r="L244" s="159"/>
      <c r="M244" s="156"/>
      <c r="N244" s="158">
        <v>-1100</v>
      </c>
      <c r="O244" s="328">
        <f t="shared" si="157"/>
        <v>-1100</v>
      </c>
      <c r="P244" s="130">
        <f t="shared" si="158"/>
        <v>-1100</v>
      </c>
    </row>
    <row r="245" spans="1:16" ht="122.25" customHeight="1" x14ac:dyDescent="0.25">
      <c r="A245" s="763"/>
      <c r="B245" s="801" t="s">
        <v>999</v>
      </c>
      <c r="C245" s="156"/>
      <c r="D245" s="157"/>
      <c r="E245" s="157"/>
      <c r="F245" s="158"/>
      <c r="G245" s="158"/>
      <c r="H245" s="159"/>
      <c r="I245" s="156"/>
      <c r="J245" s="156"/>
      <c r="K245" s="158"/>
      <c r="L245" s="159"/>
      <c r="M245" s="156"/>
      <c r="N245" s="158">
        <v>-3200</v>
      </c>
      <c r="O245" s="328">
        <f t="shared" si="157"/>
        <v>-3200</v>
      </c>
      <c r="P245" s="130">
        <f t="shared" si="158"/>
        <v>-3200</v>
      </c>
    </row>
    <row r="246" spans="1:16" ht="72" customHeight="1" x14ac:dyDescent="0.25">
      <c r="A246" s="136"/>
      <c r="B246" s="909" t="s">
        <v>954</v>
      </c>
      <c r="C246" s="137"/>
      <c r="D246" s="138"/>
      <c r="E246" s="138"/>
      <c r="F246" s="139"/>
      <c r="G246" s="139"/>
      <c r="H246" s="135"/>
      <c r="I246" s="137"/>
      <c r="J246" s="137"/>
      <c r="K246" s="139"/>
      <c r="L246" s="135"/>
      <c r="M246" s="137"/>
      <c r="N246" s="139">
        <v>-7200</v>
      </c>
      <c r="O246" s="328">
        <f t="shared" ref="O246:O255" si="159">SUM(M246:N246)</f>
        <v>-7200</v>
      </c>
      <c r="P246" s="130">
        <f t="shared" ref="P246:P255" si="160">SUM(O246)</f>
        <v>-7200</v>
      </c>
    </row>
    <row r="247" spans="1:16" ht="53.25" customHeight="1" x14ac:dyDescent="0.25">
      <c r="A247" s="763"/>
      <c r="B247" s="801" t="s">
        <v>958</v>
      </c>
      <c r="C247" s="156"/>
      <c r="D247" s="157"/>
      <c r="E247" s="157"/>
      <c r="F247" s="158"/>
      <c r="G247" s="158"/>
      <c r="H247" s="159"/>
      <c r="I247" s="156"/>
      <c r="J247" s="156"/>
      <c r="K247" s="158"/>
      <c r="L247" s="159"/>
      <c r="M247" s="156"/>
      <c r="N247" s="139">
        <v>-10828</v>
      </c>
      <c r="O247" s="328">
        <f t="shared" si="159"/>
        <v>-10828</v>
      </c>
      <c r="P247" s="130">
        <f t="shared" si="160"/>
        <v>-10828</v>
      </c>
    </row>
    <row r="248" spans="1:16" ht="54" customHeight="1" x14ac:dyDescent="0.25">
      <c r="A248" s="763"/>
      <c r="B248" s="801" t="s">
        <v>1052</v>
      </c>
      <c r="C248" s="156"/>
      <c r="D248" s="157"/>
      <c r="E248" s="157"/>
      <c r="F248" s="158"/>
      <c r="G248" s="158"/>
      <c r="H248" s="159"/>
      <c r="I248" s="156"/>
      <c r="J248" s="156"/>
      <c r="K248" s="158"/>
      <c r="L248" s="159"/>
      <c r="M248" s="156"/>
      <c r="N248" s="158">
        <v>-3600</v>
      </c>
      <c r="O248" s="328">
        <f t="shared" si="159"/>
        <v>-3600</v>
      </c>
      <c r="P248" s="130">
        <f t="shared" si="160"/>
        <v>-3600</v>
      </c>
    </row>
    <row r="249" spans="1:16" ht="52.5" customHeight="1" x14ac:dyDescent="0.25">
      <c r="A249" s="763"/>
      <c r="B249" s="801" t="s">
        <v>1051</v>
      </c>
      <c r="C249" s="156"/>
      <c r="D249" s="157"/>
      <c r="E249" s="157"/>
      <c r="F249" s="158"/>
      <c r="G249" s="158"/>
      <c r="H249" s="159"/>
      <c r="I249" s="156"/>
      <c r="J249" s="156"/>
      <c r="K249" s="158"/>
      <c r="L249" s="159"/>
      <c r="M249" s="156"/>
      <c r="N249" s="158">
        <v>-561</v>
      </c>
      <c r="O249" s="328">
        <f t="shared" si="159"/>
        <v>-561</v>
      </c>
      <c r="P249" s="130">
        <f t="shared" si="160"/>
        <v>-561</v>
      </c>
    </row>
    <row r="250" spans="1:16" ht="75" customHeight="1" x14ac:dyDescent="0.25">
      <c r="A250" s="136"/>
      <c r="B250" s="909" t="s">
        <v>1004</v>
      </c>
      <c r="C250" s="137"/>
      <c r="D250" s="138"/>
      <c r="E250" s="138"/>
      <c r="F250" s="139"/>
      <c r="G250" s="139"/>
      <c r="H250" s="135"/>
      <c r="I250" s="137"/>
      <c r="J250" s="137"/>
      <c r="K250" s="139"/>
      <c r="L250" s="135"/>
      <c r="M250" s="137"/>
      <c r="N250" s="139">
        <v>-187000</v>
      </c>
      <c r="O250" s="328">
        <f t="shared" si="159"/>
        <v>-187000</v>
      </c>
      <c r="P250" s="135">
        <f t="shared" si="160"/>
        <v>-187000</v>
      </c>
    </row>
    <row r="251" spans="1:16" ht="59.25" customHeight="1" x14ac:dyDescent="0.25">
      <c r="A251" s="136"/>
      <c r="B251" s="909" t="s">
        <v>1082</v>
      </c>
      <c r="C251" s="137"/>
      <c r="D251" s="138"/>
      <c r="E251" s="138"/>
      <c r="F251" s="139"/>
      <c r="G251" s="139"/>
      <c r="H251" s="135"/>
      <c r="I251" s="137"/>
      <c r="J251" s="137"/>
      <c r="K251" s="139"/>
      <c r="L251" s="135"/>
      <c r="M251" s="137"/>
      <c r="N251" s="139">
        <v>-53991</v>
      </c>
      <c r="O251" s="328">
        <f t="shared" si="159"/>
        <v>-53991</v>
      </c>
      <c r="P251" s="135">
        <f t="shared" si="160"/>
        <v>-53991</v>
      </c>
    </row>
    <row r="252" spans="1:16" ht="126" customHeight="1" x14ac:dyDescent="0.25">
      <c r="A252" s="763"/>
      <c r="B252" s="801" t="s">
        <v>960</v>
      </c>
      <c r="C252" s="156"/>
      <c r="D252" s="157"/>
      <c r="E252" s="157"/>
      <c r="F252" s="158"/>
      <c r="G252" s="158"/>
      <c r="H252" s="159"/>
      <c r="I252" s="156"/>
      <c r="J252" s="156"/>
      <c r="K252" s="158"/>
      <c r="L252" s="159"/>
      <c r="M252" s="156"/>
      <c r="N252" s="158">
        <v>-5871</v>
      </c>
      <c r="O252" s="328">
        <f t="shared" si="159"/>
        <v>-5871</v>
      </c>
      <c r="P252" s="130">
        <f t="shared" si="160"/>
        <v>-5871</v>
      </c>
    </row>
    <row r="253" spans="1:16" ht="105" customHeight="1" x14ac:dyDescent="0.25">
      <c r="A253" s="763"/>
      <c r="B253" s="801" t="s">
        <v>964</v>
      </c>
      <c r="C253" s="156"/>
      <c r="D253" s="157"/>
      <c r="E253" s="157"/>
      <c r="F253" s="158"/>
      <c r="G253" s="158"/>
      <c r="H253" s="159"/>
      <c r="I253" s="156"/>
      <c r="J253" s="156"/>
      <c r="K253" s="158"/>
      <c r="L253" s="159"/>
      <c r="M253" s="156"/>
      <c r="N253" s="158">
        <v>-882</v>
      </c>
      <c r="O253" s="328">
        <f t="shared" si="159"/>
        <v>-882</v>
      </c>
      <c r="P253" s="130">
        <f t="shared" si="160"/>
        <v>-882</v>
      </c>
    </row>
    <row r="254" spans="1:16" ht="124.5" customHeight="1" x14ac:dyDescent="0.25">
      <c r="A254" s="763"/>
      <c r="B254" s="801" t="s">
        <v>966</v>
      </c>
      <c r="C254" s="156"/>
      <c r="D254" s="157"/>
      <c r="E254" s="157"/>
      <c r="F254" s="158"/>
      <c r="G254" s="158"/>
      <c r="H254" s="159"/>
      <c r="I254" s="156"/>
      <c r="J254" s="156"/>
      <c r="K254" s="158"/>
      <c r="L254" s="159"/>
      <c r="M254" s="156"/>
      <c r="N254" s="158">
        <v>-12986</v>
      </c>
      <c r="O254" s="328">
        <f t="shared" si="159"/>
        <v>-12986</v>
      </c>
      <c r="P254" s="130">
        <f t="shared" si="160"/>
        <v>-12986</v>
      </c>
    </row>
    <row r="255" spans="1:16" ht="135.75" customHeight="1" x14ac:dyDescent="0.25">
      <c r="A255" s="763"/>
      <c r="B255" s="801" t="s">
        <v>1001</v>
      </c>
      <c r="C255" s="156"/>
      <c r="D255" s="157"/>
      <c r="E255" s="157"/>
      <c r="F255" s="158"/>
      <c r="G255" s="158"/>
      <c r="H255" s="159"/>
      <c r="I255" s="156"/>
      <c r="J255" s="156"/>
      <c r="K255" s="158"/>
      <c r="L255" s="159"/>
      <c r="M255" s="156"/>
      <c r="N255" s="158">
        <v>-643</v>
      </c>
      <c r="O255" s="328">
        <f t="shared" si="159"/>
        <v>-643</v>
      </c>
      <c r="P255" s="130">
        <f t="shared" si="160"/>
        <v>-643</v>
      </c>
    </row>
    <row r="256" spans="1:16" x14ac:dyDescent="0.25">
      <c r="A256" s="763"/>
      <c r="B256" s="765" t="s">
        <v>820</v>
      </c>
      <c r="C256" s="156"/>
      <c r="D256" s="157"/>
      <c r="E256" s="157"/>
      <c r="F256" s="158"/>
      <c r="G256" s="158"/>
      <c r="H256" s="159"/>
      <c r="I256" s="156"/>
      <c r="J256" s="156"/>
      <c r="K256" s="158"/>
      <c r="L256" s="159"/>
      <c r="M256" s="156"/>
      <c r="N256" s="158"/>
      <c r="O256" s="328"/>
      <c r="P256" s="130"/>
    </row>
    <row r="257" spans="1:16" ht="33.75" customHeight="1" x14ac:dyDescent="0.25">
      <c r="A257" s="763"/>
      <c r="B257" s="764" t="s">
        <v>857</v>
      </c>
      <c r="C257" s="156"/>
      <c r="D257" s="157"/>
      <c r="E257" s="157"/>
      <c r="F257" s="158"/>
      <c r="G257" s="158"/>
      <c r="H257" s="159"/>
      <c r="I257" s="156"/>
      <c r="J257" s="156"/>
      <c r="K257" s="158"/>
      <c r="L257" s="159"/>
      <c r="M257" s="156"/>
      <c r="N257" s="158">
        <v>-12367</v>
      </c>
      <c r="O257" s="328">
        <f t="shared" ref="O257:O266" si="161">SUM(M257:N257)</f>
        <v>-12367</v>
      </c>
      <c r="P257" s="130">
        <f t="shared" ref="P257:P266" si="162">SUM(O257)</f>
        <v>-12367</v>
      </c>
    </row>
    <row r="258" spans="1:16" x14ac:dyDescent="0.25">
      <c r="A258" s="763"/>
      <c r="B258" s="764" t="s">
        <v>858</v>
      </c>
      <c r="C258" s="156"/>
      <c r="D258" s="157"/>
      <c r="E258" s="157"/>
      <c r="F258" s="158"/>
      <c r="G258" s="158"/>
      <c r="H258" s="159"/>
      <c r="I258" s="156"/>
      <c r="J258" s="156"/>
      <c r="K258" s="158"/>
      <c r="L258" s="159"/>
      <c r="M258" s="156"/>
      <c r="N258" s="158">
        <v>-34942</v>
      </c>
      <c r="O258" s="328">
        <f t="shared" si="161"/>
        <v>-34942</v>
      </c>
      <c r="P258" s="130">
        <f t="shared" si="162"/>
        <v>-34942</v>
      </c>
    </row>
    <row r="259" spans="1:16" ht="39" customHeight="1" x14ac:dyDescent="0.25">
      <c r="A259" s="136"/>
      <c r="B259" s="931" t="s">
        <v>859</v>
      </c>
      <c r="C259" s="137"/>
      <c r="D259" s="138"/>
      <c r="E259" s="138"/>
      <c r="F259" s="139"/>
      <c r="G259" s="139"/>
      <c r="H259" s="135"/>
      <c r="I259" s="137"/>
      <c r="J259" s="137"/>
      <c r="K259" s="139"/>
      <c r="L259" s="135"/>
      <c r="M259" s="137"/>
      <c r="N259" s="139">
        <v>-7348</v>
      </c>
      <c r="O259" s="328">
        <f t="shared" si="161"/>
        <v>-7348</v>
      </c>
      <c r="P259" s="135">
        <f t="shared" si="162"/>
        <v>-7348</v>
      </c>
    </row>
    <row r="260" spans="1:16" ht="56.25" customHeight="1" x14ac:dyDescent="0.25">
      <c r="A260" s="136"/>
      <c r="B260" s="909" t="s">
        <v>1083</v>
      </c>
      <c r="C260" s="137"/>
      <c r="D260" s="138"/>
      <c r="E260" s="138"/>
      <c r="F260" s="139"/>
      <c r="G260" s="139"/>
      <c r="H260" s="135"/>
      <c r="I260" s="137"/>
      <c r="J260" s="137"/>
      <c r="K260" s="139"/>
      <c r="L260" s="135"/>
      <c r="M260" s="137"/>
      <c r="N260" s="139">
        <v>-7214</v>
      </c>
      <c r="O260" s="328">
        <f t="shared" si="161"/>
        <v>-7214</v>
      </c>
      <c r="P260" s="135">
        <f t="shared" si="162"/>
        <v>-7214</v>
      </c>
    </row>
    <row r="261" spans="1:16" s="521" customFormat="1" ht="48" customHeight="1" x14ac:dyDescent="0.25">
      <c r="A261" s="780"/>
      <c r="B261" s="146" t="s">
        <v>1194</v>
      </c>
      <c r="C261" s="519"/>
      <c r="D261" s="781"/>
      <c r="E261" s="781"/>
      <c r="F261" s="523"/>
      <c r="G261" s="523"/>
      <c r="H261" s="520"/>
      <c r="I261" s="519"/>
      <c r="J261" s="519"/>
      <c r="K261" s="523"/>
      <c r="L261" s="520"/>
      <c r="M261" s="519"/>
      <c r="N261" s="523">
        <v>-5000</v>
      </c>
      <c r="O261" s="520">
        <f t="shared" ref="O261" si="163">SUM(M261:N261)</f>
        <v>-5000</v>
      </c>
      <c r="P261" s="520">
        <f t="shared" ref="P261" si="164">SUM(O261+L261+H261)</f>
        <v>-5000</v>
      </c>
    </row>
    <row r="262" spans="1:16" ht="35.25" customHeight="1" x14ac:dyDescent="0.25">
      <c r="A262" s="763"/>
      <c r="B262" s="764" t="s">
        <v>843</v>
      </c>
      <c r="C262" s="156"/>
      <c r="D262" s="157"/>
      <c r="E262" s="157"/>
      <c r="F262" s="158"/>
      <c r="G262" s="158"/>
      <c r="H262" s="159"/>
      <c r="I262" s="156"/>
      <c r="J262" s="156"/>
      <c r="K262" s="158"/>
      <c r="L262" s="159"/>
      <c r="M262" s="156"/>
      <c r="N262" s="158">
        <v>-7654</v>
      </c>
      <c r="O262" s="328">
        <f t="shared" si="161"/>
        <v>-7654</v>
      </c>
      <c r="P262" s="130">
        <f t="shared" si="162"/>
        <v>-7654</v>
      </c>
    </row>
    <row r="263" spans="1:16" ht="36.75" customHeight="1" x14ac:dyDescent="0.25">
      <c r="A263" s="763"/>
      <c r="B263" s="764" t="s">
        <v>823</v>
      </c>
      <c r="C263" s="156"/>
      <c r="D263" s="157"/>
      <c r="E263" s="157"/>
      <c r="F263" s="158"/>
      <c r="G263" s="158"/>
      <c r="H263" s="159"/>
      <c r="I263" s="156"/>
      <c r="J263" s="156"/>
      <c r="K263" s="158"/>
      <c r="L263" s="159"/>
      <c r="M263" s="156"/>
      <c r="N263" s="158">
        <v>-14216</v>
      </c>
      <c r="O263" s="328">
        <f t="shared" si="161"/>
        <v>-14216</v>
      </c>
      <c r="P263" s="130">
        <f t="shared" si="162"/>
        <v>-14216</v>
      </c>
    </row>
    <row r="264" spans="1:16" x14ac:dyDescent="0.25">
      <c r="A264" s="763"/>
      <c r="B264" s="765" t="s">
        <v>860</v>
      </c>
      <c r="C264" s="156"/>
      <c r="D264" s="157"/>
      <c r="E264" s="157"/>
      <c r="F264" s="158"/>
      <c r="G264" s="158"/>
      <c r="H264" s="159"/>
      <c r="I264" s="156"/>
      <c r="J264" s="156"/>
      <c r="K264" s="158"/>
      <c r="L264" s="159"/>
      <c r="M264" s="156"/>
      <c r="N264" s="158"/>
      <c r="O264" s="328"/>
      <c r="P264" s="130"/>
    </row>
    <row r="265" spans="1:16" ht="31.5" x14ac:dyDescent="0.25">
      <c r="A265" s="763"/>
      <c r="B265" s="801" t="s">
        <v>1099</v>
      </c>
      <c r="C265" s="156"/>
      <c r="D265" s="157"/>
      <c r="E265" s="157"/>
      <c r="F265" s="158"/>
      <c r="G265" s="158"/>
      <c r="H265" s="159"/>
      <c r="I265" s="156"/>
      <c r="J265" s="156"/>
      <c r="K265" s="158"/>
      <c r="L265" s="159"/>
      <c r="M265" s="156"/>
      <c r="N265" s="158">
        <v>-46783</v>
      </c>
      <c r="O265" s="328">
        <f t="shared" ref="O265" si="165">SUM(M265:N265)</f>
        <v>-46783</v>
      </c>
      <c r="P265" s="130">
        <f t="shared" ref="P265" si="166">SUM(O265)</f>
        <v>-46783</v>
      </c>
    </row>
    <row r="266" spans="1:16" ht="36.75" customHeight="1" x14ac:dyDescent="0.25">
      <c r="A266" s="763"/>
      <c r="B266" s="764" t="s">
        <v>823</v>
      </c>
      <c r="C266" s="156"/>
      <c r="D266" s="157"/>
      <c r="E266" s="157"/>
      <c r="F266" s="158"/>
      <c r="G266" s="158"/>
      <c r="H266" s="159"/>
      <c r="I266" s="156"/>
      <c r="J266" s="156"/>
      <c r="K266" s="158"/>
      <c r="L266" s="159"/>
      <c r="M266" s="156"/>
      <c r="N266" s="158">
        <v>-1214</v>
      </c>
      <c r="O266" s="328">
        <f t="shared" si="161"/>
        <v>-1214</v>
      </c>
      <c r="P266" s="130">
        <f t="shared" si="162"/>
        <v>-1214</v>
      </c>
    </row>
    <row r="267" spans="1:16" ht="16.5" thickBot="1" x14ac:dyDescent="0.3">
      <c r="A267" s="154" t="s">
        <v>49</v>
      </c>
      <c r="B267" s="155" t="s">
        <v>50</v>
      </c>
      <c r="C267" s="156"/>
      <c r="D267" s="157"/>
      <c r="E267" s="157"/>
      <c r="F267" s="158"/>
      <c r="G267" s="158"/>
      <c r="H267" s="159"/>
      <c r="I267" s="156"/>
      <c r="J267" s="156"/>
      <c r="K267" s="158"/>
      <c r="L267" s="159"/>
      <c r="M267" s="160">
        <f>SUM(M210:M266)</f>
        <v>82523</v>
      </c>
      <c r="N267" s="161">
        <f>SUM(N233:N266)</f>
        <v>-44029</v>
      </c>
      <c r="O267" s="159">
        <f>M267+N267</f>
        <v>38494</v>
      </c>
      <c r="P267" s="130">
        <f>SUM(O267)</f>
        <v>38494</v>
      </c>
    </row>
    <row r="268" spans="1:16" ht="17.25" thickTop="1" thickBot="1" x14ac:dyDescent="0.3">
      <c r="A268" s="534" t="s">
        <v>51</v>
      </c>
      <c r="B268" s="535" t="s">
        <v>52</v>
      </c>
      <c r="C268" s="162">
        <f>SUM(C208:C231)</f>
        <v>253040</v>
      </c>
      <c r="D268" s="162">
        <f t="shared" ref="D268:L268" si="167">SUM(D208:D267)</f>
        <v>82492</v>
      </c>
      <c r="E268" s="162">
        <f t="shared" si="167"/>
        <v>5730882</v>
      </c>
      <c r="F268" s="162">
        <f t="shared" si="167"/>
        <v>60261</v>
      </c>
      <c r="G268" s="162">
        <f t="shared" si="167"/>
        <v>6485843</v>
      </c>
      <c r="H268" s="162">
        <f t="shared" si="167"/>
        <v>12612518</v>
      </c>
      <c r="I268" s="162">
        <f t="shared" si="167"/>
        <v>19554667</v>
      </c>
      <c r="J268" s="162">
        <f t="shared" si="167"/>
        <v>1750897</v>
      </c>
      <c r="K268" s="162">
        <f t="shared" si="167"/>
        <v>401368</v>
      </c>
      <c r="L268" s="162">
        <f t="shared" si="167"/>
        <v>21706932</v>
      </c>
      <c r="M268" s="162">
        <f>SUM(M208+M267)</f>
        <v>104840</v>
      </c>
      <c r="N268" s="162">
        <f>SUM(N208+N267)</f>
        <v>6507758</v>
      </c>
      <c r="O268" s="162">
        <f>SUM(O208+O267)</f>
        <v>6612598</v>
      </c>
      <c r="P268" s="162">
        <f>SUM(P208+P267)</f>
        <v>40932048</v>
      </c>
    </row>
    <row r="269" spans="1:16" x14ac:dyDescent="0.25">
      <c r="B269" s="163"/>
    </row>
    <row r="270" spans="1:16" x14ac:dyDescent="0.25">
      <c r="B270" s="163"/>
      <c r="C270" s="115">
        <f t="shared" ref="C270:P270" si="168">SUM(C268-C10)</f>
        <v>29506</v>
      </c>
      <c r="D270" s="115">
        <f t="shared" si="168"/>
        <v>8003</v>
      </c>
      <c r="E270" s="115">
        <f t="shared" si="168"/>
        <v>17448</v>
      </c>
      <c r="F270" s="115">
        <f t="shared" si="168"/>
        <v>-614</v>
      </c>
      <c r="G270" s="115">
        <f t="shared" si="168"/>
        <v>114161</v>
      </c>
      <c r="H270" s="115">
        <f t="shared" si="168"/>
        <v>168504</v>
      </c>
      <c r="I270" s="115">
        <f t="shared" si="168"/>
        <v>819004</v>
      </c>
      <c r="J270" s="115">
        <f t="shared" si="168"/>
        <v>140039</v>
      </c>
      <c r="K270" s="115">
        <f t="shared" si="168"/>
        <v>39463</v>
      </c>
      <c r="L270" s="115">
        <f t="shared" si="168"/>
        <v>998506</v>
      </c>
      <c r="M270" s="115">
        <f t="shared" si="168"/>
        <v>82523</v>
      </c>
      <c r="N270" s="115">
        <f t="shared" si="168"/>
        <v>-44029</v>
      </c>
      <c r="O270" s="115">
        <f t="shared" si="168"/>
        <v>38494</v>
      </c>
      <c r="P270" s="115">
        <f t="shared" si="168"/>
        <v>1205504</v>
      </c>
    </row>
    <row r="271" spans="1:16" x14ac:dyDescent="0.25">
      <c r="B271" s="163"/>
    </row>
    <row r="272" spans="1:16" x14ac:dyDescent="0.25">
      <c r="B272" s="163"/>
    </row>
    <row r="273" spans="2:2" x14ac:dyDescent="0.25">
      <c r="B273" s="163"/>
    </row>
    <row r="274" spans="2:2" x14ac:dyDescent="0.25">
      <c r="B274" s="163"/>
    </row>
    <row r="275" spans="2:2" x14ac:dyDescent="0.25">
      <c r="B275" s="163"/>
    </row>
    <row r="276" spans="2:2" x14ac:dyDescent="0.25">
      <c r="B276" s="163"/>
    </row>
    <row r="277" spans="2:2" x14ac:dyDescent="0.25">
      <c r="B277" s="163"/>
    </row>
    <row r="278" spans="2:2" x14ac:dyDescent="0.25">
      <c r="B278" s="163"/>
    </row>
    <row r="279" spans="2:2" x14ac:dyDescent="0.25">
      <c r="B279" s="163"/>
    </row>
    <row r="280" spans="2:2" x14ac:dyDescent="0.25">
      <c r="B280" s="163"/>
    </row>
    <row r="281" spans="2:2" x14ac:dyDescent="0.25">
      <c r="B281" s="163"/>
    </row>
    <row r="282" spans="2:2" x14ac:dyDescent="0.25">
      <c r="B282" s="163"/>
    </row>
    <row r="283" spans="2:2" x14ac:dyDescent="0.25">
      <c r="B283" s="163"/>
    </row>
    <row r="284" spans="2:2" x14ac:dyDescent="0.25">
      <c r="B284" s="163"/>
    </row>
    <row r="285" spans="2:2" x14ac:dyDescent="0.25">
      <c r="B285" s="163"/>
    </row>
    <row r="286" spans="2:2" x14ac:dyDescent="0.25">
      <c r="B286" s="163"/>
    </row>
  </sheetData>
  <mergeCells count="1">
    <mergeCell ref="A1:P1"/>
  </mergeCells>
  <phoneticPr fontId="0" type="noConversion"/>
  <printOptions horizontalCentered="1"/>
  <pageMargins left="0.19685039370078741" right="0.15748031496062992" top="0.78740157480314965" bottom="0.39370078740157483" header="0.43307086614173229" footer="0.19685039370078741"/>
  <pageSetup paperSize="9" scale="65" orientation="landscape" r:id="rId1"/>
  <headerFooter alignWithMargins="0">
    <oddHeader>&amp;R&amp;"Times New Roman CE,Félkövér"&amp;11 10. melléklet a 28/2016.(VI.24.) önkormányzati rendelethez&amp;12
&amp;"Times New Roman CE,Dőlt"&amp;10 11. melléklet
  a 3/2016.(II.12.) önkormányzati rendelethez</oddHeader>
    <oddFooter>&amp;C&amp;P</oddFooter>
  </headerFooter>
  <rowBreaks count="2" manualBreakCount="2">
    <brk id="189" max="15" man="1"/>
    <brk id="205" max="1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"/>
  <sheetViews>
    <sheetView view="pageBreakPreview" zoomScaleNormal="100" zoomScaleSheetLayoutView="100" workbookViewId="0">
      <pane xSplit="2" ySplit="4" topLeftCell="C11" activePane="bottomRight" state="frozen"/>
      <selection activeCell="K211" sqref="K211"/>
      <selection pane="topRight" activeCell="K211" sqref="K211"/>
      <selection pane="bottomLeft" activeCell="K211" sqref="K211"/>
      <selection pane="bottomRight" activeCell="B23" sqref="B23:B24"/>
    </sheetView>
  </sheetViews>
  <sheetFormatPr defaultRowHeight="15.75" x14ac:dyDescent="0.25"/>
  <cols>
    <col min="1" max="1" width="4.875" style="1" bestFit="1" customWidth="1"/>
    <col min="2" max="2" width="65.75" style="1" customWidth="1"/>
    <col min="3" max="8" width="13.25" style="314" customWidth="1"/>
    <col min="9" max="9" width="8.5" style="320" customWidth="1"/>
    <col min="10" max="10" width="11.25" style="320" customWidth="1"/>
    <col min="11" max="11" width="13.25" style="320" customWidth="1"/>
    <col min="12" max="16384" width="9" style="1"/>
  </cols>
  <sheetData>
    <row r="1" spans="1:11" ht="15.75" customHeight="1" x14ac:dyDescent="0.25">
      <c r="A1" s="977" t="s">
        <v>648</v>
      </c>
      <c r="B1" s="977"/>
      <c r="C1" s="977"/>
      <c r="D1" s="977"/>
      <c r="E1" s="977"/>
      <c r="F1" s="977"/>
      <c r="G1" s="977"/>
      <c r="H1" s="977"/>
      <c r="I1" s="977"/>
      <c r="J1" s="977"/>
      <c r="K1" s="977"/>
    </row>
    <row r="2" spans="1:11" ht="15.75" customHeight="1" x14ac:dyDescent="0.25">
      <c r="A2" s="977" t="s">
        <v>234</v>
      </c>
      <c r="B2" s="977"/>
      <c r="C2" s="977"/>
      <c r="D2" s="977"/>
      <c r="E2" s="977"/>
      <c r="F2" s="977"/>
      <c r="G2" s="977"/>
      <c r="H2" s="977"/>
      <c r="I2" s="977"/>
      <c r="J2" s="977"/>
      <c r="K2" s="977"/>
    </row>
    <row r="3" spans="1:11" ht="16.5" thickBot="1" x14ac:dyDescent="0.3"/>
    <row r="4" spans="1:11" ht="48" thickBot="1" x14ac:dyDescent="0.3">
      <c r="A4" s="293"/>
      <c r="B4" s="341" t="s">
        <v>184</v>
      </c>
      <c r="C4" s="337" t="s">
        <v>837</v>
      </c>
      <c r="D4" s="294" t="s">
        <v>649</v>
      </c>
      <c r="E4" s="294" t="s">
        <v>838</v>
      </c>
      <c r="F4" s="337" t="s">
        <v>650</v>
      </c>
      <c r="G4" s="294" t="s">
        <v>651</v>
      </c>
      <c r="H4" s="294" t="s">
        <v>677</v>
      </c>
      <c r="I4" s="294" t="s">
        <v>178</v>
      </c>
      <c r="J4" s="294" t="s">
        <v>179</v>
      </c>
      <c r="K4" s="294" t="s">
        <v>539</v>
      </c>
    </row>
    <row r="5" spans="1:11" x14ac:dyDescent="0.25">
      <c r="A5" s="295" t="s">
        <v>109</v>
      </c>
      <c r="B5" s="342" t="s">
        <v>143</v>
      </c>
      <c r="C5" s="338">
        <f>SUM(C6+C9+C55+C56+C58)</f>
        <v>1825057</v>
      </c>
      <c r="D5" s="338">
        <f>SUM(D6+D9+D55+D56+D58)</f>
        <v>77717</v>
      </c>
      <c r="E5" s="338">
        <f>SUM(C5:D5)</f>
        <v>1902774</v>
      </c>
      <c r="F5" s="338">
        <f>SUM(F6+F9+F55+F56+F58)</f>
        <v>90403</v>
      </c>
      <c r="G5" s="338">
        <f>SUM(G6+G9+G55+G56+G58)</f>
        <v>1812853</v>
      </c>
      <c r="H5" s="338">
        <f>SUM(H6+H9+H55+H56+H58)</f>
        <v>-482</v>
      </c>
      <c r="I5" s="444" t="s">
        <v>180</v>
      </c>
      <c r="J5" s="444" t="s">
        <v>180</v>
      </c>
      <c r="K5" s="338"/>
    </row>
    <row r="6" spans="1:11" x14ac:dyDescent="0.25">
      <c r="A6" s="296"/>
      <c r="B6" s="343" t="s">
        <v>110</v>
      </c>
      <c r="C6" s="297">
        <f t="shared" ref="C6:E6" si="0">SUM(C7:C8)</f>
        <v>1012901</v>
      </c>
      <c r="D6" s="297">
        <f t="shared" si="0"/>
        <v>0</v>
      </c>
      <c r="E6" s="297">
        <f t="shared" si="0"/>
        <v>1012901</v>
      </c>
      <c r="F6" s="297">
        <f>SUM(F7:F8)</f>
        <v>5865</v>
      </c>
      <c r="G6" s="297">
        <f t="shared" ref="G6" si="1">SUM(G7:G8)</f>
        <v>1007036</v>
      </c>
      <c r="H6" s="297"/>
      <c r="I6" s="445" t="s">
        <v>180</v>
      </c>
      <c r="J6" s="445" t="s">
        <v>180</v>
      </c>
      <c r="K6" s="297"/>
    </row>
    <row r="7" spans="1:11" x14ac:dyDescent="0.25">
      <c r="A7" s="296"/>
      <c r="B7" s="345" t="s">
        <v>111</v>
      </c>
      <c r="C7" s="298">
        <v>1001234</v>
      </c>
      <c r="D7" s="298"/>
      <c r="E7" s="298">
        <f t="shared" ref="E7:E69" si="2">SUM(C7:D7)</f>
        <v>1001234</v>
      </c>
      <c r="F7" s="298">
        <f>4101+97</f>
        <v>4198</v>
      </c>
      <c r="G7" s="298">
        <f>308508+688528</f>
        <v>997036</v>
      </c>
      <c r="H7" s="298"/>
      <c r="I7" s="446" t="s">
        <v>180</v>
      </c>
      <c r="J7" s="446" t="s">
        <v>180</v>
      </c>
      <c r="K7" s="298"/>
    </row>
    <row r="8" spans="1:11" x14ac:dyDescent="0.25">
      <c r="A8" s="296"/>
      <c r="B8" s="345" t="s">
        <v>540</v>
      </c>
      <c r="C8" s="298">
        <v>11667</v>
      </c>
      <c r="D8" s="298"/>
      <c r="E8" s="298">
        <f t="shared" si="2"/>
        <v>11667</v>
      </c>
      <c r="F8" s="298">
        <v>1667</v>
      </c>
      <c r="G8" s="298">
        <v>10000</v>
      </c>
      <c r="H8" s="298"/>
      <c r="I8" s="446"/>
      <c r="J8" s="446" t="s">
        <v>180</v>
      </c>
      <c r="K8" s="298"/>
    </row>
    <row r="9" spans="1:11" x14ac:dyDescent="0.25">
      <c r="A9" s="296"/>
      <c r="B9" s="346" t="s">
        <v>112</v>
      </c>
      <c r="C9" s="299">
        <f>SUM(C10+C50+C54)</f>
        <v>251523</v>
      </c>
      <c r="D9" s="299">
        <f>SUM(D10+D50+D54)</f>
        <v>66889</v>
      </c>
      <c r="E9" s="299">
        <f t="shared" si="2"/>
        <v>318412</v>
      </c>
      <c r="F9" s="299">
        <f>SUM(F10+F50+F54)</f>
        <v>42974</v>
      </c>
      <c r="G9" s="299">
        <f>SUM(G10+G50+G54)</f>
        <v>275920</v>
      </c>
      <c r="H9" s="299">
        <f>SUM(H10+H50+H54)</f>
        <v>-482</v>
      </c>
      <c r="I9" s="445" t="s">
        <v>180</v>
      </c>
      <c r="J9" s="445" t="s">
        <v>180</v>
      </c>
      <c r="K9" s="299"/>
    </row>
    <row r="10" spans="1:11" x14ac:dyDescent="0.25">
      <c r="A10" s="296"/>
      <c r="B10" s="345" t="s">
        <v>113</v>
      </c>
      <c r="C10" s="447">
        <v>217447</v>
      </c>
      <c r="D10" s="447">
        <f>2500+4000+1880+58991</f>
        <v>67371</v>
      </c>
      <c r="E10" s="447">
        <f t="shared" si="2"/>
        <v>284818</v>
      </c>
      <c r="F10" s="447">
        <f>32884+6</f>
        <v>32890</v>
      </c>
      <c r="G10" s="447">
        <f>174506+320+3631+1000+100+5000+2500+4000+1880+58991</f>
        <v>251928</v>
      </c>
      <c r="H10" s="447"/>
      <c r="I10" s="448" t="s">
        <v>180</v>
      </c>
      <c r="J10" s="448" t="s">
        <v>180</v>
      </c>
      <c r="K10" s="447"/>
    </row>
    <row r="11" spans="1:11" s="318" customFormat="1" x14ac:dyDescent="0.25">
      <c r="A11" s="317"/>
      <c r="B11" s="347" t="s">
        <v>313</v>
      </c>
      <c r="C11" s="319">
        <v>2000</v>
      </c>
      <c r="D11" s="319"/>
      <c r="E11" s="319">
        <f t="shared" si="2"/>
        <v>2000</v>
      </c>
      <c r="F11" s="319"/>
      <c r="G11" s="319">
        <v>2000</v>
      </c>
      <c r="H11" s="319"/>
      <c r="I11" s="449"/>
      <c r="J11" s="449" t="s">
        <v>180</v>
      </c>
      <c r="K11" s="319"/>
    </row>
    <row r="12" spans="1:11" s="318" customFormat="1" x14ac:dyDescent="0.25">
      <c r="A12" s="317"/>
      <c r="B12" s="347" t="s">
        <v>135</v>
      </c>
      <c r="C12" s="319">
        <v>2000</v>
      </c>
      <c r="D12" s="319"/>
      <c r="E12" s="319">
        <f t="shared" si="2"/>
        <v>2000</v>
      </c>
      <c r="F12" s="319"/>
      <c r="G12" s="319">
        <v>2000</v>
      </c>
      <c r="H12" s="319"/>
      <c r="I12" s="449"/>
      <c r="J12" s="449" t="s">
        <v>180</v>
      </c>
      <c r="K12" s="319"/>
    </row>
    <row r="13" spans="1:11" s="318" customFormat="1" x14ac:dyDescent="0.25">
      <c r="A13" s="317"/>
      <c r="B13" s="347" t="s">
        <v>136</v>
      </c>
      <c r="C13" s="319">
        <v>4202</v>
      </c>
      <c r="D13" s="319"/>
      <c r="E13" s="319">
        <f t="shared" si="2"/>
        <v>4202</v>
      </c>
      <c r="F13" s="319">
        <v>202</v>
      </c>
      <c r="G13" s="319">
        <v>4000</v>
      </c>
      <c r="H13" s="319"/>
      <c r="I13" s="449"/>
      <c r="J13" s="449" t="s">
        <v>180</v>
      </c>
      <c r="K13" s="319"/>
    </row>
    <row r="14" spans="1:11" s="318" customFormat="1" x14ac:dyDescent="0.25">
      <c r="A14" s="317"/>
      <c r="B14" s="347" t="s">
        <v>314</v>
      </c>
      <c r="C14" s="319">
        <v>9598</v>
      </c>
      <c r="D14" s="319"/>
      <c r="E14" s="319">
        <f t="shared" si="2"/>
        <v>9598</v>
      </c>
      <c r="F14" s="319">
        <v>305</v>
      </c>
      <c r="G14" s="319">
        <v>9293</v>
      </c>
      <c r="H14" s="319"/>
      <c r="I14" s="449"/>
      <c r="J14" s="449" t="s">
        <v>180</v>
      </c>
      <c r="K14" s="319"/>
    </row>
    <row r="15" spans="1:11" s="318" customFormat="1" x14ac:dyDescent="0.25">
      <c r="A15" s="317"/>
      <c r="B15" s="347" t="s">
        <v>172</v>
      </c>
      <c r="C15" s="319">
        <v>400</v>
      </c>
      <c r="D15" s="319"/>
      <c r="E15" s="319">
        <f t="shared" si="2"/>
        <v>400</v>
      </c>
      <c r="F15" s="319"/>
      <c r="G15" s="319">
        <v>400</v>
      </c>
      <c r="H15" s="319"/>
      <c r="I15" s="449"/>
      <c r="J15" s="449" t="s">
        <v>180</v>
      </c>
      <c r="K15" s="319"/>
    </row>
    <row r="16" spans="1:11" s="318" customFormat="1" x14ac:dyDescent="0.25">
      <c r="A16" s="317"/>
      <c r="B16" s="347" t="s">
        <v>315</v>
      </c>
      <c r="C16" s="319">
        <v>400</v>
      </c>
      <c r="D16" s="319"/>
      <c r="E16" s="319">
        <f t="shared" si="2"/>
        <v>400</v>
      </c>
      <c r="F16" s="319"/>
      <c r="G16" s="319">
        <v>400</v>
      </c>
      <c r="H16" s="319"/>
      <c r="I16" s="449"/>
      <c r="J16" s="449" t="s">
        <v>180</v>
      </c>
      <c r="K16" s="319"/>
    </row>
    <row r="17" spans="1:11" s="318" customFormat="1" x14ac:dyDescent="0.25">
      <c r="A17" s="317"/>
      <c r="B17" s="347" t="s">
        <v>316</v>
      </c>
      <c r="C17" s="319">
        <v>13500</v>
      </c>
      <c r="D17" s="319"/>
      <c r="E17" s="319">
        <f t="shared" si="2"/>
        <v>13500</v>
      </c>
      <c r="F17" s="319"/>
      <c r="G17" s="319">
        <v>13500</v>
      </c>
      <c r="H17" s="319"/>
      <c r="I17" s="449"/>
      <c r="J17" s="449" t="s">
        <v>180</v>
      </c>
      <c r="K17" s="319"/>
    </row>
    <row r="18" spans="1:11" s="318" customFormat="1" x14ac:dyDescent="0.25">
      <c r="A18" s="317"/>
      <c r="B18" s="347" t="s">
        <v>317</v>
      </c>
      <c r="C18" s="319">
        <v>1500</v>
      </c>
      <c r="D18" s="319"/>
      <c r="E18" s="319">
        <f t="shared" si="2"/>
        <v>1500</v>
      </c>
      <c r="F18" s="319"/>
      <c r="G18" s="319">
        <v>1500</v>
      </c>
      <c r="H18" s="319"/>
      <c r="I18" s="449"/>
      <c r="J18" s="449" t="s">
        <v>180</v>
      </c>
      <c r="K18" s="319"/>
    </row>
    <row r="19" spans="1:11" s="318" customFormat="1" x14ac:dyDescent="0.25">
      <c r="A19" s="317"/>
      <c r="B19" s="347" t="s">
        <v>318</v>
      </c>
      <c r="C19" s="319">
        <v>3000</v>
      </c>
      <c r="D19" s="319"/>
      <c r="E19" s="319">
        <f t="shared" si="2"/>
        <v>3000</v>
      </c>
      <c r="F19" s="319"/>
      <c r="G19" s="319">
        <v>3000</v>
      </c>
      <c r="H19" s="319"/>
      <c r="I19" s="449"/>
      <c r="J19" s="449" t="s">
        <v>180</v>
      </c>
      <c r="K19" s="319"/>
    </row>
    <row r="20" spans="1:11" s="318" customFormat="1" x14ac:dyDescent="0.25">
      <c r="A20" s="317"/>
      <c r="B20" s="347" t="s">
        <v>319</v>
      </c>
      <c r="C20" s="319">
        <v>2000</v>
      </c>
      <c r="D20" s="319"/>
      <c r="E20" s="319">
        <f t="shared" si="2"/>
        <v>2000</v>
      </c>
      <c r="F20" s="319"/>
      <c r="G20" s="319">
        <v>2000</v>
      </c>
      <c r="H20" s="319"/>
      <c r="I20" s="449"/>
      <c r="J20" s="449" t="s">
        <v>180</v>
      </c>
      <c r="K20" s="319"/>
    </row>
    <row r="21" spans="1:11" s="318" customFormat="1" x14ac:dyDescent="0.25">
      <c r="A21" s="317"/>
      <c r="B21" s="347" t="s">
        <v>320</v>
      </c>
      <c r="C21" s="319">
        <v>7500</v>
      </c>
      <c r="D21" s="319"/>
      <c r="E21" s="319">
        <f t="shared" si="2"/>
        <v>7500</v>
      </c>
      <c r="F21" s="319">
        <v>2500</v>
      </c>
      <c r="G21" s="319">
        <v>5000</v>
      </c>
      <c r="H21" s="319"/>
      <c r="I21" s="449"/>
      <c r="J21" s="449" t="s">
        <v>180</v>
      </c>
      <c r="K21" s="319"/>
    </row>
    <row r="22" spans="1:11" s="318" customFormat="1" ht="31.5" x14ac:dyDescent="0.25">
      <c r="A22" s="317"/>
      <c r="B22" s="347" t="s">
        <v>321</v>
      </c>
      <c r="C22" s="339">
        <v>3000</v>
      </c>
      <c r="D22" s="319"/>
      <c r="E22" s="319">
        <f t="shared" si="2"/>
        <v>3000</v>
      </c>
      <c r="F22" s="339"/>
      <c r="G22" s="319">
        <v>3000</v>
      </c>
      <c r="H22" s="319"/>
      <c r="I22" s="449"/>
      <c r="J22" s="449" t="s">
        <v>180</v>
      </c>
      <c r="K22" s="319"/>
    </row>
    <row r="23" spans="1:11" s="318" customFormat="1" ht="31.5" x14ac:dyDescent="0.25">
      <c r="A23" s="317"/>
      <c r="B23" s="347" t="s">
        <v>869</v>
      </c>
      <c r="C23" s="339">
        <v>5000</v>
      </c>
      <c r="D23" s="319">
        <v>-5000</v>
      </c>
      <c r="E23" s="319">
        <f t="shared" si="2"/>
        <v>0</v>
      </c>
      <c r="F23" s="339"/>
      <c r="G23" s="319">
        <v>0</v>
      </c>
      <c r="H23" s="319"/>
      <c r="I23" s="449"/>
      <c r="J23" s="449" t="s">
        <v>180</v>
      </c>
      <c r="K23" s="319"/>
    </row>
    <row r="24" spans="1:11" s="318" customFormat="1" ht="47.25" x14ac:dyDescent="0.25">
      <c r="A24" s="317"/>
      <c r="B24" s="347" t="s">
        <v>1201</v>
      </c>
      <c r="C24" s="339">
        <v>0</v>
      </c>
      <c r="D24" s="319">
        <v>5000</v>
      </c>
      <c r="E24" s="319">
        <f t="shared" si="2"/>
        <v>5000</v>
      </c>
      <c r="F24" s="339"/>
      <c r="G24" s="319">
        <v>5000</v>
      </c>
      <c r="H24" s="319"/>
      <c r="I24" s="449"/>
      <c r="J24" s="449" t="s">
        <v>180</v>
      </c>
      <c r="K24" s="319"/>
    </row>
    <row r="25" spans="1:11" s="318" customFormat="1" ht="31.5" x14ac:dyDescent="0.25">
      <c r="A25" s="317"/>
      <c r="B25" s="347" t="s">
        <v>436</v>
      </c>
      <c r="C25" s="339">
        <v>10000</v>
      </c>
      <c r="D25" s="319"/>
      <c r="E25" s="319">
        <f t="shared" si="2"/>
        <v>10000</v>
      </c>
      <c r="F25" s="339">
        <v>10000</v>
      </c>
      <c r="G25" s="319">
        <v>0</v>
      </c>
      <c r="H25" s="319"/>
      <c r="I25" s="449"/>
      <c r="J25" s="449" t="s">
        <v>180</v>
      </c>
      <c r="K25" s="319"/>
    </row>
    <row r="26" spans="1:11" s="905" customFormat="1" ht="47.25" x14ac:dyDescent="0.25">
      <c r="A26" s="904"/>
      <c r="B26" s="348" t="s">
        <v>1200</v>
      </c>
      <c r="C26" s="451">
        <v>0</v>
      </c>
      <c r="D26" s="319">
        <v>4000</v>
      </c>
      <c r="E26" s="319">
        <f t="shared" si="2"/>
        <v>4000</v>
      </c>
      <c r="F26" s="451"/>
      <c r="G26" s="319">
        <v>4000</v>
      </c>
      <c r="H26" s="319"/>
      <c r="I26" s="449"/>
      <c r="J26" s="449" t="s">
        <v>180</v>
      </c>
      <c r="K26" s="319"/>
    </row>
    <row r="27" spans="1:11" s="318" customFormat="1" ht="31.5" x14ac:dyDescent="0.25">
      <c r="A27" s="317"/>
      <c r="B27" s="347" t="s">
        <v>839</v>
      </c>
      <c r="C27" s="339">
        <v>1000</v>
      </c>
      <c r="D27" s="319"/>
      <c r="E27" s="319">
        <f t="shared" si="2"/>
        <v>1000</v>
      </c>
      <c r="F27" s="339"/>
      <c r="G27" s="319">
        <v>1000</v>
      </c>
      <c r="H27" s="319"/>
      <c r="I27" s="449"/>
      <c r="J27" s="449" t="s">
        <v>180</v>
      </c>
      <c r="K27" s="319"/>
    </row>
    <row r="28" spans="1:11" s="318" customFormat="1" x14ac:dyDescent="0.25">
      <c r="A28" s="317"/>
      <c r="B28" s="347" t="s">
        <v>322</v>
      </c>
      <c r="C28" s="339">
        <v>450</v>
      </c>
      <c r="D28" s="319"/>
      <c r="E28" s="319">
        <f t="shared" si="2"/>
        <v>450</v>
      </c>
      <c r="F28" s="339"/>
      <c r="G28" s="319">
        <v>450</v>
      </c>
      <c r="H28" s="319"/>
      <c r="I28" s="449"/>
      <c r="J28" s="449" t="s">
        <v>180</v>
      </c>
      <c r="K28" s="319"/>
    </row>
    <row r="29" spans="1:11" s="318" customFormat="1" x14ac:dyDescent="0.25">
      <c r="A29" s="317"/>
      <c r="B29" s="348" t="s">
        <v>323</v>
      </c>
      <c r="C29" s="339">
        <v>250</v>
      </c>
      <c r="D29" s="319"/>
      <c r="E29" s="319">
        <f t="shared" si="2"/>
        <v>250</v>
      </c>
      <c r="F29" s="339"/>
      <c r="G29" s="319">
        <v>250</v>
      </c>
      <c r="H29" s="319"/>
      <c r="I29" s="449"/>
      <c r="J29" s="449" t="s">
        <v>180</v>
      </c>
      <c r="K29" s="319"/>
    </row>
    <row r="30" spans="1:11" s="318" customFormat="1" x14ac:dyDescent="0.25">
      <c r="A30" s="317"/>
      <c r="B30" s="347" t="s">
        <v>173</v>
      </c>
      <c r="C30" s="339">
        <v>400</v>
      </c>
      <c r="D30" s="319"/>
      <c r="E30" s="319">
        <f t="shared" si="2"/>
        <v>400</v>
      </c>
      <c r="F30" s="339"/>
      <c r="G30" s="319">
        <v>400</v>
      </c>
      <c r="H30" s="319"/>
      <c r="I30" s="449"/>
      <c r="J30" s="449" t="s">
        <v>180</v>
      </c>
      <c r="K30" s="319"/>
    </row>
    <row r="31" spans="1:11" s="318" customFormat="1" x14ac:dyDescent="0.25">
      <c r="A31" s="317"/>
      <c r="B31" s="347" t="s">
        <v>324</v>
      </c>
      <c r="C31" s="339">
        <v>500</v>
      </c>
      <c r="D31" s="319"/>
      <c r="E31" s="319">
        <f t="shared" si="2"/>
        <v>500</v>
      </c>
      <c r="F31" s="339"/>
      <c r="G31" s="319">
        <v>500</v>
      </c>
      <c r="H31" s="319"/>
      <c r="I31" s="449"/>
      <c r="J31" s="449" t="s">
        <v>180</v>
      </c>
      <c r="K31" s="319"/>
    </row>
    <row r="32" spans="1:11" s="318" customFormat="1" x14ac:dyDescent="0.25">
      <c r="A32" s="317"/>
      <c r="B32" s="347" t="s">
        <v>325</v>
      </c>
      <c r="C32" s="339">
        <v>200</v>
      </c>
      <c r="D32" s="319"/>
      <c r="E32" s="319">
        <f t="shared" si="2"/>
        <v>200</v>
      </c>
      <c r="F32" s="339"/>
      <c r="G32" s="319">
        <v>200</v>
      </c>
      <c r="H32" s="319"/>
      <c r="I32" s="449"/>
      <c r="J32" s="449" t="s">
        <v>180</v>
      </c>
      <c r="K32" s="319"/>
    </row>
    <row r="33" spans="1:11" s="318" customFormat="1" ht="31.5" x14ac:dyDescent="0.25">
      <c r="A33" s="317"/>
      <c r="B33" s="347" t="s">
        <v>613</v>
      </c>
      <c r="C33" s="339">
        <v>2000</v>
      </c>
      <c r="D33" s="319"/>
      <c r="E33" s="319">
        <f t="shared" si="2"/>
        <v>2000</v>
      </c>
      <c r="F33" s="339"/>
      <c r="G33" s="319">
        <v>2000</v>
      </c>
      <c r="H33" s="319"/>
      <c r="I33" s="449"/>
      <c r="J33" s="449" t="s">
        <v>180</v>
      </c>
      <c r="K33" s="319"/>
    </row>
    <row r="34" spans="1:11" x14ac:dyDescent="0.25">
      <c r="A34" s="317"/>
      <c r="B34" s="348" t="s">
        <v>614</v>
      </c>
      <c r="C34" s="339">
        <v>1000</v>
      </c>
      <c r="D34" s="319"/>
      <c r="E34" s="319">
        <f t="shared" si="2"/>
        <v>1000</v>
      </c>
      <c r="F34" s="339">
        <v>500</v>
      </c>
      <c r="G34" s="319">
        <v>500</v>
      </c>
      <c r="H34" s="319"/>
      <c r="I34" s="449"/>
      <c r="J34" s="449" t="s">
        <v>180</v>
      </c>
      <c r="K34" s="319"/>
    </row>
    <row r="35" spans="1:11" x14ac:dyDescent="0.25">
      <c r="A35" s="317"/>
      <c r="B35" s="348" t="s">
        <v>615</v>
      </c>
      <c r="C35" s="339">
        <v>2000</v>
      </c>
      <c r="D35" s="319"/>
      <c r="E35" s="319">
        <f t="shared" si="2"/>
        <v>2000</v>
      </c>
      <c r="F35" s="339"/>
      <c r="G35" s="319">
        <v>2000</v>
      </c>
      <c r="H35" s="319"/>
      <c r="I35" s="449"/>
      <c r="J35" s="449" t="s">
        <v>180</v>
      </c>
      <c r="K35" s="319"/>
    </row>
    <row r="36" spans="1:11" ht="31.5" x14ac:dyDescent="0.25">
      <c r="A36" s="317"/>
      <c r="B36" s="348" t="s">
        <v>616</v>
      </c>
      <c r="C36" s="339">
        <v>1000</v>
      </c>
      <c r="D36" s="319"/>
      <c r="E36" s="319">
        <f t="shared" si="2"/>
        <v>1000</v>
      </c>
      <c r="F36" s="339"/>
      <c r="G36" s="319">
        <v>1000</v>
      </c>
      <c r="H36" s="319"/>
      <c r="I36" s="449"/>
      <c r="J36" s="449" t="s">
        <v>180</v>
      </c>
      <c r="K36" s="319"/>
    </row>
    <row r="37" spans="1:11" ht="31.5" x14ac:dyDescent="0.25">
      <c r="A37" s="317"/>
      <c r="B37" s="348" t="s">
        <v>617</v>
      </c>
      <c r="C37" s="339">
        <v>1500</v>
      </c>
      <c r="D37" s="319"/>
      <c r="E37" s="319">
        <f t="shared" si="2"/>
        <v>1500</v>
      </c>
      <c r="F37" s="339"/>
      <c r="G37" s="319">
        <v>1500</v>
      </c>
      <c r="H37" s="319"/>
      <c r="I37" s="449"/>
      <c r="J37" s="449" t="s">
        <v>180</v>
      </c>
      <c r="K37" s="319"/>
    </row>
    <row r="38" spans="1:11" ht="31.5" x14ac:dyDescent="0.25">
      <c r="A38" s="317"/>
      <c r="B38" s="348" t="s">
        <v>619</v>
      </c>
      <c r="C38" s="339">
        <v>5000</v>
      </c>
      <c r="D38" s="319"/>
      <c r="E38" s="319">
        <f t="shared" si="2"/>
        <v>5000</v>
      </c>
      <c r="F38" s="339"/>
      <c r="G38" s="319">
        <v>5000</v>
      </c>
      <c r="H38" s="319"/>
      <c r="I38" s="449"/>
      <c r="J38" s="449" t="s">
        <v>180</v>
      </c>
      <c r="K38" s="319"/>
    </row>
    <row r="39" spans="1:11" ht="31.5" x14ac:dyDescent="0.25">
      <c r="A39" s="317"/>
      <c r="B39" s="348" t="s">
        <v>618</v>
      </c>
      <c r="C39" s="339">
        <v>1000</v>
      </c>
      <c r="D39" s="319"/>
      <c r="E39" s="319">
        <f t="shared" si="2"/>
        <v>1000</v>
      </c>
      <c r="F39" s="339"/>
      <c r="G39" s="319">
        <v>1000</v>
      </c>
      <c r="H39" s="319"/>
      <c r="I39" s="449"/>
      <c r="J39" s="449" t="s">
        <v>180</v>
      </c>
      <c r="K39" s="319"/>
    </row>
    <row r="40" spans="1:11" ht="31.5" x14ac:dyDescent="0.25">
      <c r="A40" s="317"/>
      <c r="B40" s="348" t="s">
        <v>970</v>
      </c>
      <c r="C40" s="339">
        <v>0</v>
      </c>
      <c r="D40" s="319">
        <v>2500</v>
      </c>
      <c r="E40" s="319">
        <f t="shared" si="2"/>
        <v>2500</v>
      </c>
      <c r="F40" s="339"/>
      <c r="G40" s="319">
        <v>2500</v>
      </c>
      <c r="H40" s="319"/>
      <c r="I40" s="449"/>
      <c r="J40" s="449" t="s">
        <v>180</v>
      </c>
      <c r="K40" s="319"/>
    </row>
    <row r="41" spans="1:11" x14ac:dyDescent="0.25">
      <c r="A41" s="317"/>
      <c r="B41" s="348" t="s">
        <v>620</v>
      </c>
      <c r="C41" s="339">
        <v>5000</v>
      </c>
      <c r="D41" s="319"/>
      <c r="E41" s="319">
        <f t="shared" si="2"/>
        <v>5000</v>
      </c>
      <c r="F41" s="339"/>
      <c r="G41" s="319">
        <v>5000</v>
      </c>
      <c r="H41" s="319"/>
      <c r="I41" s="449"/>
      <c r="J41" s="449" t="s">
        <v>180</v>
      </c>
      <c r="K41" s="319"/>
    </row>
    <row r="42" spans="1:11" x14ac:dyDescent="0.25">
      <c r="A42" s="317"/>
      <c r="B42" s="348" t="s">
        <v>621</v>
      </c>
      <c r="C42" s="339">
        <v>2000</v>
      </c>
      <c r="D42" s="319"/>
      <c r="E42" s="319">
        <f t="shared" si="2"/>
        <v>2000</v>
      </c>
      <c r="F42" s="339"/>
      <c r="G42" s="319">
        <v>2000</v>
      </c>
      <c r="H42" s="319"/>
      <c r="I42" s="449"/>
      <c r="J42" s="449" t="s">
        <v>180</v>
      </c>
      <c r="K42" s="319"/>
    </row>
    <row r="43" spans="1:11" x14ac:dyDescent="0.25">
      <c r="A43" s="317"/>
      <c r="B43" s="348" t="s">
        <v>622</v>
      </c>
      <c r="C43" s="339">
        <v>5000</v>
      </c>
      <c r="D43" s="319"/>
      <c r="E43" s="319">
        <f t="shared" si="2"/>
        <v>5000</v>
      </c>
      <c r="F43" s="339"/>
      <c r="G43" s="319">
        <v>5000</v>
      </c>
      <c r="H43" s="319"/>
      <c r="I43" s="449"/>
      <c r="J43" s="449" t="s">
        <v>180</v>
      </c>
      <c r="K43" s="319"/>
    </row>
    <row r="44" spans="1:11" x14ac:dyDescent="0.25">
      <c r="A44" s="317"/>
      <c r="B44" s="348" t="s">
        <v>623</v>
      </c>
      <c r="C44" s="339">
        <v>442</v>
      </c>
      <c r="D44" s="319"/>
      <c r="E44" s="319">
        <f t="shared" si="2"/>
        <v>442</v>
      </c>
      <c r="F44" s="339"/>
      <c r="G44" s="319">
        <v>442</v>
      </c>
      <c r="H44" s="319"/>
      <c r="I44" s="449"/>
      <c r="J44" s="449" t="s">
        <v>180</v>
      </c>
      <c r="K44" s="319"/>
    </row>
    <row r="45" spans="1:11" x14ac:dyDescent="0.25">
      <c r="A45" s="317"/>
      <c r="B45" s="348" t="s">
        <v>624</v>
      </c>
      <c r="C45" s="339">
        <v>6511</v>
      </c>
      <c r="D45" s="319"/>
      <c r="E45" s="319">
        <f t="shared" si="2"/>
        <v>6511</v>
      </c>
      <c r="F45" s="339">
        <v>511</v>
      </c>
      <c r="G45" s="319">
        <f>5000+1000</f>
        <v>6000</v>
      </c>
      <c r="H45" s="319"/>
      <c r="I45" s="449"/>
      <c r="J45" s="449" t="s">
        <v>180</v>
      </c>
      <c r="K45" s="319"/>
    </row>
    <row r="46" spans="1:11" ht="47.25" x14ac:dyDescent="0.25">
      <c r="A46" s="317"/>
      <c r="B46" s="348" t="s">
        <v>1076</v>
      </c>
      <c r="C46" s="339">
        <v>0</v>
      </c>
      <c r="D46" s="319">
        <v>1880</v>
      </c>
      <c r="E46" s="319">
        <f t="shared" si="2"/>
        <v>1880</v>
      </c>
      <c r="F46" s="339"/>
      <c r="G46" s="319">
        <v>1880</v>
      </c>
      <c r="H46" s="319"/>
      <c r="I46" s="449"/>
      <c r="J46" s="449" t="s">
        <v>180</v>
      </c>
      <c r="K46" s="319"/>
    </row>
    <row r="47" spans="1:11" ht="31.5" x14ac:dyDescent="0.25">
      <c r="A47" s="317"/>
      <c r="B47" s="348" t="s">
        <v>1197</v>
      </c>
      <c r="C47" s="339">
        <v>0</v>
      </c>
      <c r="D47" s="319">
        <v>58991</v>
      </c>
      <c r="E47" s="319">
        <f t="shared" si="2"/>
        <v>58991</v>
      </c>
      <c r="F47" s="339"/>
      <c r="G47" s="319">
        <v>58991</v>
      </c>
      <c r="H47" s="319"/>
      <c r="I47" s="449"/>
      <c r="J47" s="449" t="s">
        <v>180</v>
      </c>
      <c r="K47" s="319"/>
    </row>
    <row r="48" spans="1:11" x14ac:dyDescent="0.25">
      <c r="A48" s="317"/>
      <c r="B48" s="348" t="s">
        <v>625</v>
      </c>
      <c r="C48" s="339">
        <v>24000</v>
      </c>
      <c r="D48" s="319"/>
      <c r="E48" s="319">
        <f t="shared" si="2"/>
        <v>24000</v>
      </c>
      <c r="F48" s="339"/>
      <c r="G48" s="319">
        <v>24000</v>
      </c>
      <c r="H48" s="319"/>
      <c r="I48" s="449"/>
      <c r="J48" s="449" t="s">
        <v>180</v>
      </c>
      <c r="K48" s="319"/>
    </row>
    <row r="49" spans="1:11" x14ac:dyDescent="0.25">
      <c r="A49" s="317"/>
      <c r="B49" s="348" t="s">
        <v>626</v>
      </c>
      <c r="C49" s="339">
        <v>11315</v>
      </c>
      <c r="D49" s="319"/>
      <c r="E49" s="319">
        <f t="shared" si="2"/>
        <v>11315</v>
      </c>
      <c r="F49" s="339">
        <v>4965</v>
      </c>
      <c r="G49" s="319">
        <v>6350</v>
      </c>
      <c r="H49" s="319"/>
      <c r="I49" s="449"/>
      <c r="J49" s="449" t="s">
        <v>180</v>
      </c>
      <c r="K49" s="319"/>
    </row>
    <row r="50" spans="1:11" x14ac:dyDescent="0.25">
      <c r="A50" s="296"/>
      <c r="B50" s="344" t="s">
        <v>137</v>
      </c>
      <c r="C50" s="447">
        <v>27084</v>
      </c>
      <c r="D50" s="447">
        <v>-482</v>
      </c>
      <c r="E50" s="447">
        <f t="shared" si="2"/>
        <v>26602</v>
      </c>
      <c r="F50" s="447">
        <v>10084</v>
      </c>
      <c r="G50" s="447">
        <f>16000+1000</f>
        <v>17000</v>
      </c>
      <c r="H50" s="447">
        <v>-482</v>
      </c>
      <c r="I50" s="450"/>
      <c r="J50" s="448" t="s">
        <v>180</v>
      </c>
      <c r="K50" s="447"/>
    </row>
    <row r="51" spans="1:11" x14ac:dyDescent="0.25">
      <c r="A51" s="296"/>
      <c r="B51" s="347" t="s">
        <v>150</v>
      </c>
      <c r="C51" s="339">
        <v>22584</v>
      </c>
      <c r="D51" s="319">
        <v>-482</v>
      </c>
      <c r="E51" s="319">
        <f t="shared" si="2"/>
        <v>22102</v>
      </c>
      <c r="F51" s="339">
        <v>9084</v>
      </c>
      <c r="G51" s="319">
        <v>13500</v>
      </c>
      <c r="H51" s="319">
        <v>-482</v>
      </c>
      <c r="I51" s="449"/>
      <c r="J51" s="449" t="s">
        <v>180</v>
      </c>
      <c r="K51" s="319"/>
    </row>
    <row r="52" spans="1:11" x14ac:dyDescent="0.25">
      <c r="A52" s="296"/>
      <c r="B52" s="347" t="s">
        <v>151</v>
      </c>
      <c r="C52" s="339">
        <v>1000</v>
      </c>
      <c r="D52" s="319"/>
      <c r="E52" s="319">
        <f t="shared" si="2"/>
        <v>1000</v>
      </c>
      <c r="F52" s="339"/>
      <c r="G52" s="319">
        <v>1000</v>
      </c>
      <c r="H52" s="319"/>
      <c r="I52" s="449"/>
      <c r="J52" s="449" t="s">
        <v>180</v>
      </c>
      <c r="K52" s="319"/>
    </row>
    <row r="53" spans="1:11" x14ac:dyDescent="0.25">
      <c r="A53" s="296"/>
      <c r="B53" s="347" t="s">
        <v>152</v>
      </c>
      <c r="C53" s="339">
        <v>3500</v>
      </c>
      <c r="D53" s="319"/>
      <c r="E53" s="319">
        <f t="shared" si="2"/>
        <v>3500</v>
      </c>
      <c r="F53" s="339">
        <v>1000</v>
      </c>
      <c r="G53" s="319">
        <v>2500</v>
      </c>
      <c r="H53" s="319"/>
      <c r="I53" s="449"/>
      <c r="J53" s="449" t="s">
        <v>180</v>
      </c>
      <c r="K53" s="319"/>
    </row>
    <row r="54" spans="1:11" x14ac:dyDescent="0.25">
      <c r="A54" s="296"/>
      <c r="B54" s="344" t="s">
        <v>167</v>
      </c>
      <c r="C54" s="447">
        <v>6992</v>
      </c>
      <c r="D54" s="447"/>
      <c r="E54" s="447">
        <f t="shared" si="2"/>
        <v>6992</v>
      </c>
      <c r="F54" s="447"/>
      <c r="G54" s="447">
        <v>6992</v>
      </c>
      <c r="H54" s="447"/>
      <c r="I54" s="448" t="s">
        <v>180</v>
      </c>
      <c r="J54" s="448" t="s">
        <v>180</v>
      </c>
      <c r="K54" s="447"/>
    </row>
    <row r="55" spans="1:11" x14ac:dyDescent="0.25">
      <c r="A55" s="296"/>
      <c r="B55" s="346" t="s">
        <v>114</v>
      </c>
      <c r="C55" s="297">
        <v>274813</v>
      </c>
      <c r="D55" s="297">
        <v>10828</v>
      </c>
      <c r="E55" s="297">
        <f t="shared" si="2"/>
        <v>285641</v>
      </c>
      <c r="F55" s="297">
        <v>36413</v>
      </c>
      <c r="G55" s="297">
        <f>218400+20000+10828</f>
        <v>249228</v>
      </c>
      <c r="H55" s="297"/>
      <c r="I55" s="445" t="s">
        <v>180</v>
      </c>
      <c r="J55" s="445" t="s">
        <v>180</v>
      </c>
      <c r="K55" s="297"/>
    </row>
    <row r="56" spans="1:11" x14ac:dyDescent="0.25">
      <c r="A56" s="296"/>
      <c r="B56" s="346" t="s">
        <v>115</v>
      </c>
      <c r="C56" s="297">
        <v>197673</v>
      </c>
      <c r="D56" s="297">
        <v>10147</v>
      </c>
      <c r="E56" s="297">
        <f t="shared" si="2"/>
        <v>207820</v>
      </c>
      <c r="F56" s="297"/>
      <c r="G56" s="297">
        <f>197673+10147</f>
        <v>207820</v>
      </c>
      <c r="H56" s="297"/>
      <c r="I56" s="445" t="s">
        <v>180</v>
      </c>
      <c r="J56" s="445"/>
      <c r="K56" s="297"/>
    </row>
    <row r="57" spans="1:11" x14ac:dyDescent="0.25">
      <c r="A57" s="296"/>
      <c r="B57" s="349" t="s">
        <v>138</v>
      </c>
      <c r="C57" s="339">
        <v>197490</v>
      </c>
      <c r="D57" s="319">
        <v>10147</v>
      </c>
      <c r="E57" s="319">
        <f t="shared" si="2"/>
        <v>207637</v>
      </c>
      <c r="F57" s="339"/>
      <c r="G57" s="319">
        <f>197490+10147</f>
        <v>207637</v>
      </c>
      <c r="H57" s="319"/>
      <c r="I57" s="449" t="s">
        <v>180</v>
      </c>
      <c r="J57" s="449"/>
      <c r="K57" s="319"/>
    </row>
    <row r="58" spans="1:11" x14ac:dyDescent="0.25">
      <c r="A58" s="296"/>
      <c r="B58" s="346" t="s">
        <v>139</v>
      </c>
      <c r="C58" s="297">
        <v>88147</v>
      </c>
      <c r="D58" s="297">
        <v>-10147</v>
      </c>
      <c r="E58" s="297">
        <f t="shared" si="2"/>
        <v>78000</v>
      </c>
      <c r="F58" s="297">
        <v>5151</v>
      </c>
      <c r="G58" s="297">
        <f>79121+3875-10147</f>
        <v>72849</v>
      </c>
      <c r="H58" s="297"/>
      <c r="I58" s="445"/>
      <c r="J58" s="445" t="s">
        <v>180</v>
      </c>
      <c r="K58" s="297"/>
    </row>
    <row r="59" spans="1:11" x14ac:dyDescent="0.25">
      <c r="A59" s="296"/>
      <c r="B59" s="347" t="s">
        <v>437</v>
      </c>
      <c r="C59" s="451">
        <v>10000</v>
      </c>
      <c r="D59" s="319"/>
      <c r="E59" s="319">
        <f t="shared" si="2"/>
        <v>10000</v>
      </c>
      <c r="F59" s="451"/>
      <c r="G59" s="319">
        <v>10000</v>
      </c>
      <c r="H59" s="319"/>
      <c r="I59" s="449"/>
      <c r="J59" s="449" t="s">
        <v>180</v>
      </c>
      <c r="K59" s="319"/>
    </row>
    <row r="60" spans="1:11" x14ac:dyDescent="0.25">
      <c r="A60" s="296"/>
      <c r="B60" s="347" t="s">
        <v>106</v>
      </c>
      <c r="C60" s="451">
        <v>23875</v>
      </c>
      <c r="D60" s="319"/>
      <c r="E60" s="319">
        <f t="shared" si="2"/>
        <v>23875</v>
      </c>
      <c r="F60" s="451"/>
      <c r="G60" s="319">
        <f>20000+3875</f>
        <v>23875</v>
      </c>
      <c r="H60" s="319"/>
      <c r="I60" s="449"/>
      <c r="J60" s="449" t="s">
        <v>180</v>
      </c>
      <c r="K60" s="319"/>
    </row>
    <row r="61" spans="1:11" ht="31.5" x14ac:dyDescent="0.25">
      <c r="A61" s="296"/>
      <c r="B61" s="348" t="s">
        <v>542</v>
      </c>
      <c r="C61" s="451">
        <v>2500</v>
      </c>
      <c r="D61" s="319"/>
      <c r="E61" s="319">
        <f t="shared" si="2"/>
        <v>2500</v>
      </c>
      <c r="F61" s="451"/>
      <c r="G61" s="319">
        <v>2500</v>
      </c>
      <c r="H61" s="319"/>
      <c r="I61" s="449"/>
      <c r="J61" s="449" t="s">
        <v>180</v>
      </c>
      <c r="K61" s="319"/>
    </row>
    <row r="62" spans="1:11" ht="31.5" x14ac:dyDescent="0.25">
      <c r="A62" s="296"/>
      <c r="B62" s="348" t="s">
        <v>461</v>
      </c>
      <c r="C62" s="451">
        <v>35151</v>
      </c>
      <c r="D62" s="319">
        <v>-10147</v>
      </c>
      <c r="E62" s="319">
        <f t="shared" si="2"/>
        <v>25004</v>
      </c>
      <c r="F62" s="451">
        <v>5151</v>
      </c>
      <c r="G62" s="319">
        <f>30000-10147</f>
        <v>19853</v>
      </c>
      <c r="H62" s="319"/>
      <c r="I62" s="449"/>
      <c r="J62" s="449" t="s">
        <v>180</v>
      </c>
      <c r="K62" s="319"/>
    </row>
    <row r="63" spans="1:11" ht="31.5" x14ac:dyDescent="0.25">
      <c r="A63" s="296"/>
      <c r="B63" s="348" t="s">
        <v>543</v>
      </c>
      <c r="C63" s="451">
        <v>13621</v>
      </c>
      <c r="D63" s="319"/>
      <c r="E63" s="319">
        <f t="shared" si="2"/>
        <v>13621</v>
      </c>
      <c r="F63" s="451"/>
      <c r="G63" s="319">
        <v>13621</v>
      </c>
      <c r="H63" s="319"/>
      <c r="I63" s="449"/>
      <c r="J63" s="449" t="s">
        <v>180</v>
      </c>
      <c r="K63" s="319"/>
    </row>
    <row r="64" spans="1:11" x14ac:dyDescent="0.25">
      <c r="A64" s="296"/>
      <c r="B64" s="348" t="s">
        <v>295</v>
      </c>
      <c r="C64" s="451">
        <v>3000</v>
      </c>
      <c r="D64" s="319"/>
      <c r="E64" s="319">
        <f t="shared" si="2"/>
        <v>3000</v>
      </c>
      <c r="F64" s="451"/>
      <c r="G64" s="319">
        <v>3000</v>
      </c>
      <c r="H64" s="319"/>
      <c r="I64" s="449"/>
      <c r="J64" s="449" t="s">
        <v>180</v>
      </c>
      <c r="K64" s="319"/>
    </row>
    <row r="65" spans="1:11" x14ac:dyDescent="0.25">
      <c r="A65" s="296" t="s">
        <v>140</v>
      </c>
      <c r="B65" s="343" t="s">
        <v>141</v>
      </c>
      <c r="C65" s="302">
        <v>60908</v>
      </c>
      <c r="D65" s="302">
        <f>SUM(D66:D67)</f>
        <v>0</v>
      </c>
      <c r="E65" s="302">
        <f t="shared" si="2"/>
        <v>60908</v>
      </c>
      <c r="F65" s="302">
        <f>SUM(F66:F67)</f>
        <v>908</v>
      </c>
      <c r="G65" s="302">
        <f>SUM(G66:G67)</f>
        <v>60000</v>
      </c>
      <c r="H65" s="302"/>
      <c r="I65" s="452" t="s">
        <v>180</v>
      </c>
      <c r="J65" s="452" t="s">
        <v>180</v>
      </c>
      <c r="K65" s="302"/>
    </row>
    <row r="66" spans="1:11" x14ac:dyDescent="0.25">
      <c r="A66" s="296"/>
      <c r="B66" s="344" t="s">
        <v>296</v>
      </c>
      <c r="C66" s="298">
        <v>15083</v>
      </c>
      <c r="D66" s="298"/>
      <c r="E66" s="298">
        <f t="shared" si="2"/>
        <v>15083</v>
      </c>
      <c r="F66" s="298">
        <v>83</v>
      </c>
      <c r="G66" s="298">
        <v>15000</v>
      </c>
      <c r="H66" s="298"/>
      <c r="I66" s="446" t="s">
        <v>180</v>
      </c>
      <c r="J66" s="453"/>
      <c r="K66" s="298"/>
    </row>
    <row r="67" spans="1:11" x14ac:dyDescent="0.25">
      <c r="A67" s="296"/>
      <c r="B67" s="344" t="s">
        <v>116</v>
      </c>
      <c r="C67" s="447">
        <v>45825</v>
      </c>
      <c r="D67" s="447"/>
      <c r="E67" s="447">
        <f t="shared" si="2"/>
        <v>45825</v>
      </c>
      <c r="F67" s="447">
        <v>825</v>
      </c>
      <c r="G67" s="447">
        <v>45000</v>
      </c>
      <c r="H67" s="447"/>
      <c r="I67" s="448" t="s">
        <v>180</v>
      </c>
      <c r="J67" s="448" t="s">
        <v>180</v>
      </c>
      <c r="K67" s="447"/>
    </row>
    <row r="68" spans="1:11" x14ac:dyDescent="0.25">
      <c r="A68" s="296" t="s">
        <v>142</v>
      </c>
      <c r="B68" s="346" t="s">
        <v>438</v>
      </c>
      <c r="C68" s="302">
        <f>SUM(C69+C70+C71+C72)</f>
        <v>23805257</v>
      </c>
      <c r="D68" s="302">
        <f>SUM(D69+D70+D71+D72)</f>
        <v>821862</v>
      </c>
      <c r="E68" s="302">
        <f t="shared" si="2"/>
        <v>24627119</v>
      </c>
      <c r="F68" s="302">
        <f>SUM(F69+F70+F71+F72)</f>
        <v>2032903</v>
      </c>
      <c r="G68" s="302">
        <f>SUM(G69+G70+G71+G72)</f>
        <v>22598636</v>
      </c>
      <c r="H68" s="302">
        <f>SUM(H69+H70+H71+H72)</f>
        <v>-4420</v>
      </c>
      <c r="I68" s="452" t="s">
        <v>180</v>
      </c>
      <c r="J68" s="452"/>
      <c r="K68" s="302"/>
    </row>
    <row r="69" spans="1:11" x14ac:dyDescent="0.25">
      <c r="A69" s="296"/>
      <c r="B69" s="352" t="s">
        <v>351</v>
      </c>
      <c r="C69" s="447">
        <v>1512424</v>
      </c>
      <c r="D69" s="447">
        <v>130567</v>
      </c>
      <c r="E69" s="447">
        <f t="shared" si="2"/>
        <v>1642991</v>
      </c>
      <c r="F69" s="447">
        <v>273844</v>
      </c>
      <c r="G69" s="447">
        <f>1197000+46000+130567</f>
        <v>1373567</v>
      </c>
      <c r="H69" s="447">
        <v>-4420</v>
      </c>
      <c r="I69" s="448" t="s">
        <v>180</v>
      </c>
      <c r="J69" s="450"/>
      <c r="K69" s="447"/>
    </row>
    <row r="70" spans="1:11" x14ac:dyDescent="0.25">
      <c r="A70" s="296"/>
      <c r="B70" s="345" t="s">
        <v>117</v>
      </c>
      <c r="C70" s="298">
        <v>21140128</v>
      </c>
      <c r="D70" s="298">
        <v>671259</v>
      </c>
      <c r="E70" s="298">
        <f>SUM(C70:D70)</f>
        <v>21811387</v>
      </c>
      <c r="F70" s="298">
        <f>1616018-110</f>
        <v>1615908</v>
      </c>
      <c r="G70" s="298">
        <f>19376932+110000+18288+19000+671259</f>
        <v>20195479</v>
      </c>
      <c r="H70" s="298"/>
      <c r="I70" s="446" t="s">
        <v>180</v>
      </c>
      <c r="J70" s="446" t="s">
        <v>180</v>
      </c>
      <c r="K70" s="298"/>
    </row>
    <row r="71" spans="1:11" x14ac:dyDescent="0.25">
      <c r="A71" s="296"/>
      <c r="B71" s="350" t="s">
        <v>48</v>
      </c>
      <c r="C71" s="447">
        <v>1141693</v>
      </c>
      <c r="D71" s="447">
        <v>1586</v>
      </c>
      <c r="E71" s="447">
        <f>SUM(C71:D71)</f>
        <v>1143279</v>
      </c>
      <c r="F71" s="447">
        <v>143151</v>
      </c>
      <c r="G71" s="447">
        <f>985712+12830+1586</f>
        <v>1000128</v>
      </c>
      <c r="H71" s="447"/>
      <c r="I71" s="448" t="s">
        <v>180</v>
      </c>
      <c r="J71" s="450"/>
      <c r="K71" s="447"/>
    </row>
    <row r="72" spans="1:11" x14ac:dyDescent="0.25">
      <c r="A72" s="296"/>
      <c r="B72" s="350" t="s">
        <v>144</v>
      </c>
      <c r="C72" s="298">
        <v>11012</v>
      </c>
      <c r="D72" s="298">
        <v>18450</v>
      </c>
      <c r="E72" s="298">
        <f t="shared" ref="E72:E126" si="3">SUM(C72:D72)</f>
        <v>29462</v>
      </c>
      <c r="F72" s="298"/>
      <c r="G72" s="298">
        <f>10000+1012+18450</f>
        <v>29462</v>
      </c>
      <c r="H72" s="298"/>
      <c r="I72" s="446" t="s">
        <v>180</v>
      </c>
      <c r="J72" s="453"/>
      <c r="K72" s="298"/>
    </row>
    <row r="73" spans="1:11" x14ac:dyDescent="0.25">
      <c r="A73" s="296" t="s">
        <v>118</v>
      </c>
      <c r="B73" s="346" t="s">
        <v>90</v>
      </c>
      <c r="C73" s="301">
        <f t="shared" ref="C73:E73" si="4">SUM(C74+C79)</f>
        <v>1048061</v>
      </c>
      <c r="D73" s="301">
        <f t="shared" si="4"/>
        <v>129061</v>
      </c>
      <c r="E73" s="301">
        <f t="shared" si="4"/>
        <v>1177122</v>
      </c>
      <c r="F73" s="301">
        <f>SUM(F74+F79)</f>
        <v>69520</v>
      </c>
      <c r="G73" s="301">
        <f t="shared" ref="G73" si="5">SUM(G74+G79)</f>
        <v>1107602</v>
      </c>
      <c r="H73" s="301"/>
      <c r="I73" s="454" t="s">
        <v>180</v>
      </c>
      <c r="J73" s="454" t="s">
        <v>180</v>
      </c>
      <c r="K73" s="301"/>
    </row>
    <row r="74" spans="1:11" x14ac:dyDescent="0.25">
      <c r="A74" s="296"/>
      <c r="B74" s="350" t="s">
        <v>119</v>
      </c>
      <c r="C74" s="298">
        <v>1039274</v>
      </c>
      <c r="D74" s="298">
        <f>561+5000+187000-63500</f>
        <v>129061</v>
      </c>
      <c r="E74" s="298">
        <f t="shared" si="3"/>
        <v>1168335</v>
      </c>
      <c r="F74" s="298">
        <v>68733</v>
      </c>
      <c r="G74" s="298">
        <f>940568+29973+5000+187000-63500+561</f>
        <v>1099602</v>
      </c>
      <c r="H74" s="298"/>
      <c r="I74" s="446" t="s">
        <v>180</v>
      </c>
      <c r="J74" s="446" t="s">
        <v>180</v>
      </c>
      <c r="K74" s="298"/>
    </row>
    <row r="75" spans="1:11" ht="47.25" x14ac:dyDescent="0.25">
      <c r="A75" s="296"/>
      <c r="B75" s="349" t="s">
        <v>355</v>
      </c>
      <c r="C75" s="339">
        <v>711550</v>
      </c>
      <c r="D75" s="300">
        <v>-63500</v>
      </c>
      <c r="E75" s="300">
        <f t="shared" si="3"/>
        <v>648050</v>
      </c>
      <c r="F75" s="339">
        <v>42752</v>
      </c>
      <c r="G75" s="300">
        <f>668798-63500</f>
        <v>605298</v>
      </c>
      <c r="H75" s="300"/>
      <c r="I75" s="455" t="s">
        <v>180</v>
      </c>
      <c r="J75" s="455"/>
      <c r="K75" s="300"/>
    </row>
    <row r="76" spans="1:11" s="318" customFormat="1" x14ac:dyDescent="0.25">
      <c r="A76" s="504"/>
      <c r="B76" s="349" t="s">
        <v>879</v>
      </c>
      <c r="C76" s="339">
        <v>18000</v>
      </c>
      <c r="D76" s="300"/>
      <c r="E76" s="300">
        <f t="shared" si="3"/>
        <v>18000</v>
      </c>
      <c r="F76" s="339"/>
      <c r="G76" s="300">
        <v>18000</v>
      </c>
      <c r="H76" s="300"/>
      <c r="I76" s="455" t="s">
        <v>180</v>
      </c>
      <c r="J76" s="455"/>
      <c r="K76" s="300"/>
    </row>
    <row r="77" spans="1:11" s="318" customFormat="1" ht="31.5" x14ac:dyDescent="0.25">
      <c r="A77" s="504"/>
      <c r="B77" s="349" t="s">
        <v>1005</v>
      </c>
      <c r="C77" s="339">
        <v>0</v>
      </c>
      <c r="D77" s="300">
        <v>187000</v>
      </c>
      <c r="E77" s="300">
        <f t="shared" si="3"/>
        <v>187000</v>
      </c>
      <c r="F77" s="339"/>
      <c r="G77" s="300">
        <v>187000</v>
      </c>
      <c r="H77" s="300"/>
      <c r="I77" s="455"/>
      <c r="J77" s="449" t="s">
        <v>180</v>
      </c>
      <c r="K77" s="300"/>
    </row>
    <row r="78" spans="1:11" x14ac:dyDescent="0.25">
      <c r="A78" s="296"/>
      <c r="B78" s="349" t="s">
        <v>354</v>
      </c>
      <c r="C78" s="339">
        <v>22797</v>
      </c>
      <c r="D78" s="300"/>
      <c r="E78" s="300">
        <f t="shared" si="3"/>
        <v>22797</v>
      </c>
      <c r="F78" s="339">
        <v>7797</v>
      </c>
      <c r="G78" s="300">
        <v>15000</v>
      </c>
      <c r="H78" s="300"/>
      <c r="I78" s="455"/>
      <c r="J78" s="455" t="s">
        <v>180</v>
      </c>
      <c r="K78" s="300"/>
    </row>
    <row r="79" spans="1:11" x14ac:dyDescent="0.25">
      <c r="A79" s="296"/>
      <c r="B79" s="350" t="s">
        <v>326</v>
      </c>
      <c r="C79" s="298">
        <v>8787</v>
      </c>
      <c r="D79" s="298"/>
      <c r="E79" s="298">
        <f t="shared" si="3"/>
        <v>8787</v>
      </c>
      <c r="F79" s="298">
        <v>787</v>
      </c>
      <c r="G79" s="298">
        <v>8000</v>
      </c>
      <c r="H79" s="298"/>
      <c r="I79" s="453"/>
      <c r="J79" s="446" t="s">
        <v>180</v>
      </c>
      <c r="K79" s="298"/>
    </row>
    <row r="80" spans="1:11" x14ac:dyDescent="0.25">
      <c r="A80" s="296" t="s">
        <v>120</v>
      </c>
      <c r="B80" s="346" t="s">
        <v>91</v>
      </c>
      <c r="C80" s="303">
        <f>SUM(C81+C82+C90+C93+C95)</f>
        <v>4335207</v>
      </c>
      <c r="D80" s="303">
        <f>SUM(D81+D82+D90+D93+D95)</f>
        <v>53991</v>
      </c>
      <c r="E80" s="303">
        <f t="shared" si="3"/>
        <v>4389198</v>
      </c>
      <c r="F80" s="303">
        <f>SUM(F81+F82+F90+F93+F95)</f>
        <v>16865</v>
      </c>
      <c r="G80" s="303">
        <f>SUM(G81+G82+G90+G93+G95)</f>
        <v>4372333</v>
      </c>
      <c r="H80" s="303"/>
      <c r="I80" s="457"/>
      <c r="J80" s="457"/>
      <c r="K80" s="303"/>
    </row>
    <row r="81" spans="1:11" x14ac:dyDescent="0.25">
      <c r="A81" s="296"/>
      <c r="B81" s="351" t="s">
        <v>121</v>
      </c>
      <c r="C81" s="447">
        <v>3773824</v>
      </c>
      <c r="D81" s="447">
        <v>53991</v>
      </c>
      <c r="E81" s="447">
        <f t="shared" si="3"/>
        <v>3827815</v>
      </c>
      <c r="F81" s="447">
        <v>0</v>
      </c>
      <c r="G81" s="447">
        <f>3773824+53991</f>
        <v>3827815</v>
      </c>
      <c r="H81" s="447"/>
      <c r="I81" s="448" t="s">
        <v>180</v>
      </c>
      <c r="J81" s="450"/>
      <c r="K81" s="447"/>
    </row>
    <row r="82" spans="1:11" x14ac:dyDescent="0.25">
      <c r="A82" s="296"/>
      <c r="B82" s="351" t="s">
        <v>122</v>
      </c>
      <c r="C82" s="298">
        <v>61074</v>
      </c>
      <c r="D82" s="298"/>
      <c r="E82" s="298">
        <f t="shared" si="3"/>
        <v>61074</v>
      </c>
      <c r="F82" s="298">
        <v>12911</v>
      </c>
      <c r="G82" s="298">
        <v>48163</v>
      </c>
      <c r="H82" s="298"/>
      <c r="I82" s="446" t="s">
        <v>180</v>
      </c>
      <c r="J82" s="446" t="s">
        <v>180</v>
      </c>
      <c r="K82" s="298"/>
    </row>
    <row r="83" spans="1:11" ht="31.5" x14ac:dyDescent="0.25">
      <c r="A83" s="296"/>
      <c r="B83" s="349" t="s">
        <v>171</v>
      </c>
      <c r="C83" s="339">
        <v>15810</v>
      </c>
      <c r="D83" s="300"/>
      <c r="E83" s="300">
        <f t="shared" si="3"/>
        <v>15810</v>
      </c>
      <c r="F83" s="339">
        <v>3810</v>
      </c>
      <c r="G83" s="300">
        <v>12000</v>
      </c>
      <c r="H83" s="300"/>
      <c r="I83" s="455" t="s">
        <v>180</v>
      </c>
      <c r="J83" s="455"/>
      <c r="K83" s="300"/>
    </row>
    <row r="84" spans="1:11" x14ac:dyDescent="0.25">
      <c r="A84" s="296"/>
      <c r="B84" s="349" t="s">
        <v>439</v>
      </c>
      <c r="C84" s="339">
        <v>1000</v>
      </c>
      <c r="D84" s="300"/>
      <c r="E84" s="300">
        <f t="shared" si="3"/>
        <v>1000</v>
      </c>
      <c r="F84" s="339"/>
      <c r="G84" s="300">
        <v>1000</v>
      </c>
      <c r="H84" s="300"/>
      <c r="I84" s="455"/>
      <c r="J84" s="455" t="s">
        <v>180</v>
      </c>
      <c r="K84" s="300"/>
    </row>
    <row r="85" spans="1:11" x14ac:dyDescent="0.25">
      <c r="A85" s="296"/>
      <c r="B85" s="349" t="s">
        <v>169</v>
      </c>
      <c r="C85" s="339">
        <v>1961</v>
      </c>
      <c r="D85" s="300"/>
      <c r="E85" s="300">
        <f t="shared" si="3"/>
        <v>1961</v>
      </c>
      <c r="F85" s="339"/>
      <c r="G85" s="300">
        <v>1961</v>
      </c>
      <c r="H85" s="300"/>
      <c r="I85" s="455" t="s">
        <v>180</v>
      </c>
      <c r="J85" s="455"/>
      <c r="K85" s="300"/>
    </row>
    <row r="86" spans="1:11" ht="63" x14ac:dyDescent="0.25">
      <c r="A86" s="296"/>
      <c r="B86" s="349" t="s">
        <v>297</v>
      </c>
      <c r="C86" s="339">
        <v>20250</v>
      </c>
      <c r="D86" s="300"/>
      <c r="E86" s="300">
        <f t="shared" si="3"/>
        <v>20250</v>
      </c>
      <c r="F86" s="339">
        <v>8250</v>
      </c>
      <c r="G86" s="300">
        <v>12000</v>
      </c>
      <c r="H86" s="300"/>
      <c r="I86" s="455" t="s">
        <v>180</v>
      </c>
      <c r="J86" s="455"/>
      <c r="K86" s="300"/>
    </row>
    <row r="87" spans="1:11" ht="31.5" x14ac:dyDescent="0.25">
      <c r="A87" s="296"/>
      <c r="B87" s="349" t="s">
        <v>330</v>
      </c>
      <c r="C87" s="339">
        <v>21000</v>
      </c>
      <c r="D87" s="300"/>
      <c r="E87" s="300">
        <f t="shared" si="3"/>
        <v>21000</v>
      </c>
      <c r="F87" s="339"/>
      <c r="G87" s="300">
        <v>21000</v>
      </c>
      <c r="H87" s="300"/>
      <c r="I87" s="455" t="s">
        <v>180</v>
      </c>
      <c r="J87" s="455"/>
      <c r="K87" s="300"/>
    </row>
    <row r="88" spans="1:11" x14ac:dyDescent="0.25">
      <c r="A88" s="296"/>
      <c r="B88" s="349" t="s">
        <v>170</v>
      </c>
      <c r="C88" s="339">
        <v>202</v>
      </c>
      <c r="D88" s="300"/>
      <c r="E88" s="300">
        <f t="shared" si="3"/>
        <v>202</v>
      </c>
      <c r="F88" s="339"/>
      <c r="G88" s="300">
        <v>202</v>
      </c>
      <c r="H88" s="300"/>
      <c r="I88" s="455"/>
      <c r="J88" s="455" t="s">
        <v>180</v>
      </c>
      <c r="K88" s="300"/>
    </row>
    <row r="89" spans="1:11" x14ac:dyDescent="0.25">
      <c r="A89" s="296"/>
      <c r="B89" s="349" t="s">
        <v>440</v>
      </c>
      <c r="C89" s="339">
        <v>851</v>
      </c>
      <c r="D89" s="300"/>
      <c r="E89" s="300">
        <f t="shared" si="3"/>
        <v>851</v>
      </c>
      <c r="F89" s="339">
        <v>851</v>
      </c>
      <c r="G89" s="300"/>
      <c r="H89" s="300"/>
      <c r="I89" s="455" t="s">
        <v>180</v>
      </c>
      <c r="J89" s="455"/>
      <c r="K89" s="300"/>
    </row>
    <row r="90" spans="1:11" x14ac:dyDescent="0.25">
      <c r="A90" s="296"/>
      <c r="B90" s="350" t="s">
        <v>352</v>
      </c>
      <c r="C90" s="298">
        <v>447740</v>
      </c>
      <c r="D90" s="298"/>
      <c r="E90" s="298">
        <f t="shared" si="3"/>
        <v>447740</v>
      </c>
      <c r="F90" s="298">
        <v>0</v>
      </c>
      <c r="G90" s="298">
        <v>447740</v>
      </c>
      <c r="H90" s="298"/>
      <c r="I90" s="446"/>
      <c r="J90" s="446" t="s">
        <v>180</v>
      </c>
      <c r="K90" s="298"/>
    </row>
    <row r="91" spans="1:11" x14ac:dyDescent="0.25">
      <c r="A91" s="296"/>
      <c r="B91" s="349" t="s">
        <v>545</v>
      </c>
      <c r="C91" s="339">
        <v>381240</v>
      </c>
      <c r="D91" s="300"/>
      <c r="E91" s="300">
        <f t="shared" si="3"/>
        <v>381240</v>
      </c>
      <c r="F91" s="339"/>
      <c r="G91" s="300">
        <v>381240</v>
      </c>
      <c r="H91" s="300"/>
      <c r="I91" s="455"/>
      <c r="J91" s="455" t="s">
        <v>180</v>
      </c>
      <c r="K91" s="300"/>
    </row>
    <row r="92" spans="1:11" ht="31.5" x14ac:dyDescent="0.25">
      <c r="A92" s="296"/>
      <c r="B92" s="349" t="s">
        <v>298</v>
      </c>
      <c r="C92" s="339">
        <v>63000</v>
      </c>
      <c r="D92" s="300"/>
      <c r="E92" s="300">
        <f t="shared" si="3"/>
        <v>63000</v>
      </c>
      <c r="F92" s="339"/>
      <c r="G92" s="300">
        <v>63000</v>
      </c>
      <c r="H92" s="300"/>
      <c r="I92" s="455"/>
      <c r="J92" s="455" t="s">
        <v>180</v>
      </c>
      <c r="K92" s="300"/>
    </row>
    <row r="93" spans="1:11" x14ac:dyDescent="0.25">
      <c r="A93" s="296"/>
      <c r="B93" s="456" t="s">
        <v>541</v>
      </c>
      <c r="C93" s="298">
        <v>43529</v>
      </c>
      <c r="D93" s="298"/>
      <c r="E93" s="298">
        <f t="shared" si="3"/>
        <v>43529</v>
      </c>
      <c r="F93" s="298">
        <v>3954</v>
      </c>
      <c r="G93" s="298">
        <v>39575</v>
      </c>
      <c r="H93" s="298"/>
      <c r="I93" s="446" t="s">
        <v>180</v>
      </c>
      <c r="J93" s="446" t="s">
        <v>180</v>
      </c>
      <c r="K93" s="298"/>
    </row>
    <row r="94" spans="1:11" x14ac:dyDescent="0.25">
      <c r="A94" s="296"/>
      <c r="B94" s="349" t="s">
        <v>353</v>
      </c>
      <c r="C94" s="339">
        <v>6000</v>
      </c>
      <c r="D94" s="300"/>
      <c r="E94" s="300">
        <f t="shared" si="3"/>
        <v>6000</v>
      </c>
      <c r="F94" s="339"/>
      <c r="G94" s="300">
        <v>6000</v>
      </c>
      <c r="H94" s="300"/>
      <c r="I94" s="455"/>
      <c r="J94" s="455" t="s">
        <v>180</v>
      </c>
      <c r="K94" s="300"/>
    </row>
    <row r="95" spans="1:11" x14ac:dyDescent="0.25">
      <c r="A95" s="296"/>
      <c r="B95" s="344" t="s">
        <v>123</v>
      </c>
      <c r="C95" s="298">
        <v>9040</v>
      </c>
      <c r="D95" s="298"/>
      <c r="E95" s="298">
        <f t="shared" si="3"/>
        <v>9040</v>
      </c>
      <c r="F95" s="298"/>
      <c r="G95" s="298">
        <v>9040</v>
      </c>
      <c r="H95" s="298"/>
      <c r="I95" s="446" t="s">
        <v>180</v>
      </c>
      <c r="J95" s="453"/>
      <c r="K95" s="446" t="s">
        <v>180</v>
      </c>
    </row>
    <row r="96" spans="1:11" s="318" customFormat="1" x14ac:dyDescent="0.25">
      <c r="A96" s="504"/>
      <c r="B96" s="347" t="s">
        <v>546</v>
      </c>
      <c r="C96" s="300">
        <v>8255</v>
      </c>
      <c r="D96" s="300"/>
      <c r="E96" s="300">
        <f t="shared" si="3"/>
        <v>8255</v>
      </c>
      <c r="F96" s="300"/>
      <c r="G96" s="300">
        <v>8255</v>
      </c>
      <c r="H96" s="300"/>
      <c r="I96" s="455"/>
      <c r="J96" s="455" t="s">
        <v>180</v>
      </c>
      <c r="K96" s="455"/>
    </row>
    <row r="97" spans="1:11" x14ac:dyDescent="0.25">
      <c r="A97" s="296" t="s">
        <v>124</v>
      </c>
      <c r="B97" s="346" t="s">
        <v>92</v>
      </c>
      <c r="C97" s="303">
        <f>SUM(C98+C114+C126+C188+C191+C202+C206)</f>
        <v>1853557</v>
      </c>
      <c r="D97" s="303">
        <f>SUM(D98+D114+D126+D188+D191+D202+D206)</f>
        <v>85081</v>
      </c>
      <c r="E97" s="303">
        <f t="shared" si="3"/>
        <v>1938638</v>
      </c>
      <c r="F97" s="303">
        <f>SUM(F98+F114+F126+F188+F191+F202+F206)</f>
        <v>32939</v>
      </c>
      <c r="G97" s="303">
        <f>SUM(G98+G114+G126+G188+G191+G202+G206)</f>
        <v>1920194</v>
      </c>
      <c r="H97" s="303">
        <f>SUM(H98+H114+H126+H188+H191+H202+H206)</f>
        <v>-14495</v>
      </c>
      <c r="I97" s="457"/>
      <c r="J97" s="457"/>
      <c r="K97" s="303"/>
    </row>
    <row r="98" spans="1:11" x14ac:dyDescent="0.25">
      <c r="A98" s="296"/>
      <c r="B98" s="344" t="s">
        <v>125</v>
      </c>
      <c r="C98" s="298">
        <v>214438</v>
      </c>
      <c r="D98" s="298"/>
      <c r="E98" s="298">
        <f t="shared" si="3"/>
        <v>214438</v>
      </c>
      <c r="F98" s="298">
        <v>524</v>
      </c>
      <c r="G98" s="298">
        <v>213914</v>
      </c>
      <c r="H98" s="298"/>
      <c r="I98" s="446" t="s">
        <v>180</v>
      </c>
      <c r="J98" s="446" t="s">
        <v>180</v>
      </c>
      <c r="K98" s="298"/>
    </row>
    <row r="99" spans="1:11" ht="31.5" x14ac:dyDescent="0.25">
      <c r="A99" s="296"/>
      <c r="B99" s="349" t="s">
        <v>165</v>
      </c>
      <c r="C99" s="339">
        <v>4005</v>
      </c>
      <c r="D99" s="300"/>
      <c r="E99" s="300">
        <f t="shared" si="3"/>
        <v>4005</v>
      </c>
      <c r="F99" s="339"/>
      <c r="G99" s="300">
        <v>4005</v>
      </c>
      <c r="H99" s="300"/>
      <c r="I99" s="455" t="s">
        <v>180</v>
      </c>
      <c r="J99" s="455"/>
      <c r="K99" s="300"/>
    </row>
    <row r="100" spans="1:11" ht="31.5" x14ac:dyDescent="0.25">
      <c r="A100" s="296"/>
      <c r="B100" s="349" t="s">
        <v>166</v>
      </c>
      <c r="C100" s="339">
        <v>2174</v>
      </c>
      <c r="D100" s="300"/>
      <c r="E100" s="300">
        <f t="shared" si="3"/>
        <v>2174</v>
      </c>
      <c r="F100" s="339"/>
      <c r="G100" s="300">
        <v>2174</v>
      </c>
      <c r="H100" s="300"/>
      <c r="I100" s="455" t="s">
        <v>180</v>
      </c>
      <c r="J100" s="455"/>
      <c r="K100" s="300"/>
    </row>
    <row r="101" spans="1:11" ht="31.5" x14ac:dyDescent="0.25">
      <c r="A101" s="296"/>
      <c r="B101" s="349" t="s">
        <v>93</v>
      </c>
      <c r="C101" s="339">
        <v>5000</v>
      </c>
      <c r="D101" s="300"/>
      <c r="E101" s="300">
        <f t="shared" si="3"/>
        <v>5000</v>
      </c>
      <c r="F101" s="339"/>
      <c r="G101" s="300">
        <v>5000</v>
      </c>
      <c r="H101" s="300"/>
      <c r="I101" s="455"/>
      <c r="J101" s="455" t="s">
        <v>180</v>
      </c>
      <c r="K101" s="300"/>
    </row>
    <row r="102" spans="1:11" ht="31.5" x14ac:dyDescent="0.25">
      <c r="A102" s="296"/>
      <c r="B102" s="349" t="s">
        <v>94</v>
      </c>
      <c r="C102" s="339">
        <v>5000</v>
      </c>
      <c r="D102" s="300"/>
      <c r="E102" s="300">
        <f t="shared" si="3"/>
        <v>5000</v>
      </c>
      <c r="F102" s="339"/>
      <c r="G102" s="300">
        <v>5000</v>
      </c>
      <c r="H102" s="300"/>
      <c r="I102" s="455"/>
      <c r="J102" s="455" t="s">
        <v>180</v>
      </c>
      <c r="K102" s="300"/>
    </row>
    <row r="103" spans="1:11" ht="31.5" x14ac:dyDescent="0.25">
      <c r="A103" s="296"/>
      <c r="B103" s="349" t="s">
        <v>455</v>
      </c>
      <c r="C103" s="339">
        <v>450</v>
      </c>
      <c r="D103" s="300"/>
      <c r="E103" s="300">
        <f t="shared" si="3"/>
        <v>450</v>
      </c>
      <c r="F103" s="339"/>
      <c r="G103" s="300">
        <v>450</v>
      </c>
      <c r="H103" s="300"/>
      <c r="I103" s="455"/>
      <c r="J103" s="455" t="s">
        <v>180</v>
      </c>
      <c r="K103" s="300"/>
    </row>
    <row r="104" spans="1:11" ht="31.5" x14ac:dyDescent="0.25">
      <c r="A104" s="296"/>
      <c r="B104" s="349" t="s">
        <v>168</v>
      </c>
      <c r="C104" s="339">
        <v>5000</v>
      </c>
      <c r="D104" s="300"/>
      <c r="E104" s="300">
        <f t="shared" si="3"/>
        <v>5000</v>
      </c>
      <c r="F104" s="339"/>
      <c r="G104" s="300">
        <v>5000</v>
      </c>
      <c r="H104" s="300"/>
      <c r="I104" s="455"/>
      <c r="J104" s="455" t="s">
        <v>180</v>
      </c>
      <c r="K104" s="300"/>
    </row>
    <row r="105" spans="1:11" x14ac:dyDescent="0.25">
      <c r="A105" s="296"/>
      <c r="B105" s="349" t="s">
        <v>299</v>
      </c>
      <c r="C105" s="339">
        <v>500</v>
      </c>
      <c r="D105" s="300"/>
      <c r="E105" s="300">
        <f t="shared" si="3"/>
        <v>500</v>
      </c>
      <c r="F105" s="339"/>
      <c r="G105" s="300">
        <v>500</v>
      </c>
      <c r="H105" s="300"/>
      <c r="I105" s="455"/>
      <c r="J105" s="455" t="s">
        <v>180</v>
      </c>
      <c r="K105" s="300"/>
    </row>
    <row r="106" spans="1:11" x14ac:dyDescent="0.25">
      <c r="A106" s="296"/>
      <c r="B106" s="349" t="s">
        <v>627</v>
      </c>
      <c r="C106" s="339">
        <v>150</v>
      </c>
      <c r="D106" s="300"/>
      <c r="E106" s="300">
        <f t="shared" si="3"/>
        <v>150</v>
      </c>
      <c r="F106" s="339"/>
      <c r="G106" s="300">
        <v>150</v>
      </c>
      <c r="H106" s="300"/>
      <c r="I106" s="455"/>
      <c r="J106" s="455" t="s">
        <v>180</v>
      </c>
      <c r="K106" s="300"/>
    </row>
    <row r="107" spans="1:11" x14ac:dyDescent="0.25">
      <c r="A107" s="296"/>
      <c r="B107" s="349" t="s">
        <v>628</v>
      </c>
      <c r="C107" s="339">
        <v>150000</v>
      </c>
      <c r="D107" s="300"/>
      <c r="E107" s="300">
        <f t="shared" si="3"/>
        <v>150000</v>
      </c>
      <c r="F107" s="339"/>
      <c r="G107" s="300">
        <v>150000</v>
      </c>
      <c r="H107" s="300"/>
      <c r="I107" s="455"/>
      <c r="J107" s="455" t="s">
        <v>180</v>
      </c>
      <c r="K107" s="300"/>
    </row>
    <row r="108" spans="1:11" x14ac:dyDescent="0.25">
      <c r="A108" s="296"/>
      <c r="B108" s="349" t="s">
        <v>629</v>
      </c>
      <c r="C108" s="339">
        <v>2360</v>
      </c>
      <c r="D108" s="300"/>
      <c r="E108" s="300">
        <f t="shared" si="3"/>
        <v>2360</v>
      </c>
      <c r="F108" s="339"/>
      <c r="G108" s="300">
        <v>2360</v>
      </c>
      <c r="H108" s="300"/>
      <c r="I108" s="455"/>
      <c r="J108" s="455" t="s">
        <v>180</v>
      </c>
      <c r="K108" s="300"/>
    </row>
    <row r="109" spans="1:11" x14ac:dyDescent="0.25">
      <c r="A109" s="296"/>
      <c r="B109" s="349" t="s">
        <v>630</v>
      </c>
      <c r="C109" s="339">
        <v>2000</v>
      </c>
      <c r="D109" s="300"/>
      <c r="E109" s="300">
        <f t="shared" si="3"/>
        <v>2000</v>
      </c>
      <c r="F109" s="339"/>
      <c r="G109" s="300">
        <v>2000</v>
      </c>
      <c r="H109" s="300"/>
      <c r="I109" s="455"/>
      <c r="J109" s="455" t="s">
        <v>180</v>
      </c>
      <c r="K109" s="300"/>
    </row>
    <row r="110" spans="1:11" ht="31.5" x14ac:dyDescent="0.25">
      <c r="A110" s="296"/>
      <c r="B110" s="349" t="s">
        <v>631</v>
      </c>
      <c r="C110" s="339">
        <v>8500</v>
      </c>
      <c r="D110" s="300"/>
      <c r="E110" s="300">
        <f t="shared" si="3"/>
        <v>8500</v>
      </c>
      <c r="F110" s="339"/>
      <c r="G110" s="300">
        <v>8500</v>
      </c>
      <c r="H110" s="300"/>
      <c r="I110" s="455"/>
      <c r="J110" s="455" t="s">
        <v>180</v>
      </c>
      <c r="K110" s="300"/>
    </row>
    <row r="111" spans="1:11" ht="31.5" x14ac:dyDescent="0.25">
      <c r="A111" s="296"/>
      <c r="B111" s="349" t="s">
        <v>632</v>
      </c>
      <c r="C111" s="339">
        <v>1500</v>
      </c>
      <c r="D111" s="300"/>
      <c r="E111" s="300">
        <f t="shared" si="3"/>
        <v>1500</v>
      </c>
      <c r="F111" s="339"/>
      <c r="G111" s="300">
        <v>1500</v>
      </c>
      <c r="H111" s="300"/>
      <c r="I111" s="455"/>
      <c r="J111" s="455" t="s">
        <v>180</v>
      </c>
      <c r="K111" s="300"/>
    </row>
    <row r="112" spans="1:11" x14ac:dyDescent="0.25">
      <c r="A112" s="296"/>
      <c r="B112" s="349" t="s">
        <v>633</v>
      </c>
      <c r="C112" s="339">
        <v>26000</v>
      </c>
      <c r="D112" s="300"/>
      <c r="E112" s="300">
        <f t="shared" si="3"/>
        <v>26000</v>
      </c>
      <c r="F112" s="339"/>
      <c r="G112" s="300">
        <v>26000</v>
      </c>
      <c r="H112" s="300"/>
      <c r="I112" s="455"/>
      <c r="J112" s="455" t="s">
        <v>180</v>
      </c>
      <c r="K112" s="300"/>
    </row>
    <row r="113" spans="1:11" x14ac:dyDescent="0.25">
      <c r="A113" s="296"/>
      <c r="B113" s="304" t="s">
        <v>634</v>
      </c>
      <c r="C113" s="339">
        <v>1000</v>
      </c>
      <c r="D113" s="300"/>
      <c r="E113" s="300">
        <f t="shared" si="3"/>
        <v>1000</v>
      </c>
      <c r="F113" s="339"/>
      <c r="G113" s="300">
        <v>1000</v>
      </c>
      <c r="H113" s="300"/>
      <c r="I113" s="455"/>
      <c r="J113" s="455" t="s">
        <v>180</v>
      </c>
      <c r="K113" s="300"/>
    </row>
    <row r="114" spans="1:11" x14ac:dyDescent="0.25">
      <c r="A114" s="296"/>
      <c r="B114" s="344" t="s">
        <v>126</v>
      </c>
      <c r="C114" s="447">
        <v>135259</v>
      </c>
      <c r="D114" s="447">
        <v>643</v>
      </c>
      <c r="E114" s="447">
        <f t="shared" si="3"/>
        <v>135902</v>
      </c>
      <c r="F114" s="447">
        <f>9305+1885</f>
        <v>11190</v>
      </c>
      <c r="G114" s="447">
        <f>114871+4198+5000+643</f>
        <v>124712</v>
      </c>
      <c r="H114" s="447"/>
      <c r="I114" s="448" t="s">
        <v>180</v>
      </c>
      <c r="J114" s="448" t="s">
        <v>180</v>
      </c>
      <c r="K114" s="447"/>
    </row>
    <row r="115" spans="1:11" ht="31.5" x14ac:dyDescent="0.25">
      <c r="A115" s="296"/>
      <c r="B115" s="349" t="s">
        <v>466</v>
      </c>
      <c r="C115" s="451">
        <v>30000</v>
      </c>
      <c r="D115" s="319"/>
      <c r="E115" s="319">
        <f t="shared" si="3"/>
        <v>30000</v>
      </c>
      <c r="F115" s="451"/>
      <c r="G115" s="319">
        <v>30000</v>
      </c>
      <c r="H115" s="319"/>
      <c r="I115" s="449"/>
      <c r="J115" s="449" t="s">
        <v>180</v>
      </c>
      <c r="K115" s="319"/>
    </row>
    <row r="116" spans="1:11" x14ac:dyDescent="0.25">
      <c r="A116" s="296"/>
      <c r="B116" s="349" t="s">
        <v>153</v>
      </c>
      <c r="C116" s="339">
        <v>29400</v>
      </c>
      <c r="D116" s="300"/>
      <c r="E116" s="300">
        <f t="shared" si="3"/>
        <v>29400</v>
      </c>
      <c r="F116" s="339"/>
      <c r="G116" s="300">
        <v>29400</v>
      </c>
      <c r="H116" s="300"/>
      <c r="I116" s="455" t="s">
        <v>180</v>
      </c>
      <c r="J116" s="455"/>
      <c r="K116" s="300"/>
    </row>
    <row r="117" spans="1:11" ht="47.25" x14ac:dyDescent="0.25">
      <c r="A117" s="296"/>
      <c r="B117" s="349" t="s">
        <v>547</v>
      </c>
      <c r="C117" s="339">
        <v>12000</v>
      </c>
      <c r="D117" s="300"/>
      <c r="E117" s="300">
        <f t="shared" si="3"/>
        <v>12000</v>
      </c>
      <c r="F117" s="339"/>
      <c r="G117" s="300">
        <v>12000</v>
      </c>
      <c r="H117" s="300"/>
      <c r="I117" s="455"/>
      <c r="J117" s="455" t="s">
        <v>180</v>
      </c>
      <c r="K117" s="300"/>
    </row>
    <row r="118" spans="1:11" x14ac:dyDescent="0.25">
      <c r="A118" s="296"/>
      <c r="B118" s="349" t="s">
        <v>548</v>
      </c>
      <c r="C118" s="339">
        <v>12000</v>
      </c>
      <c r="D118" s="300"/>
      <c r="E118" s="300">
        <f t="shared" si="3"/>
        <v>12000</v>
      </c>
      <c r="F118" s="339"/>
      <c r="G118" s="300">
        <v>12000</v>
      </c>
      <c r="H118" s="300"/>
      <c r="I118" s="455"/>
      <c r="J118" s="455" t="s">
        <v>180</v>
      </c>
      <c r="K118" s="300"/>
    </row>
    <row r="119" spans="1:11" ht="78.75" x14ac:dyDescent="0.25">
      <c r="A119" s="296"/>
      <c r="B119" s="349" t="s">
        <v>465</v>
      </c>
      <c r="C119" s="339">
        <v>4000</v>
      </c>
      <c r="D119" s="300"/>
      <c r="E119" s="300">
        <f t="shared" si="3"/>
        <v>4000</v>
      </c>
      <c r="F119" s="339"/>
      <c r="G119" s="300">
        <v>4000</v>
      </c>
      <c r="H119" s="300"/>
      <c r="I119" s="455"/>
      <c r="J119" s="455" t="s">
        <v>180</v>
      </c>
      <c r="K119" s="300"/>
    </row>
    <row r="120" spans="1:11" ht="31.5" x14ac:dyDescent="0.25">
      <c r="A120" s="296"/>
      <c r="B120" s="349" t="s">
        <v>441</v>
      </c>
      <c r="C120" s="339">
        <v>180</v>
      </c>
      <c r="D120" s="300"/>
      <c r="E120" s="300">
        <f t="shared" si="3"/>
        <v>180</v>
      </c>
      <c r="F120" s="339"/>
      <c r="G120" s="300">
        <v>180</v>
      </c>
      <c r="H120" s="300"/>
      <c r="I120" s="455"/>
      <c r="J120" s="455" t="s">
        <v>180</v>
      </c>
      <c r="K120" s="300"/>
    </row>
    <row r="121" spans="1:11" x14ac:dyDescent="0.25">
      <c r="A121" s="296"/>
      <c r="B121" s="349" t="s">
        <v>458</v>
      </c>
      <c r="C121" s="339">
        <v>500</v>
      </c>
      <c r="D121" s="300"/>
      <c r="E121" s="300">
        <f t="shared" si="3"/>
        <v>500</v>
      </c>
      <c r="F121" s="339"/>
      <c r="G121" s="300">
        <v>500</v>
      </c>
      <c r="H121" s="300"/>
      <c r="I121" s="455"/>
      <c r="J121" s="455" t="s">
        <v>180</v>
      </c>
      <c r="K121" s="300"/>
    </row>
    <row r="122" spans="1:11" ht="31.5" x14ac:dyDescent="0.25">
      <c r="A122" s="296"/>
      <c r="B122" s="349" t="s">
        <v>856</v>
      </c>
      <c r="C122" s="339">
        <v>2000</v>
      </c>
      <c r="D122" s="300"/>
      <c r="E122" s="300">
        <f t="shared" si="3"/>
        <v>2000</v>
      </c>
      <c r="F122" s="339"/>
      <c r="G122" s="300">
        <v>2000</v>
      </c>
      <c r="H122" s="300"/>
      <c r="I122" s="455"/>
      <c r="J122" s="455" t="s">
        <v>180</v>
      </c>
      <c r="K122" s="300"/>
    </row>
    <row r="123" spans="1:11" ht="31.5" x14ac:dyDescent="0.25">
      <c r="A123" s="296"/>
      <c r="B123" s="349" t="s">
        <v>442</v>
      </c>
      <c r="C123" s="339">
        <v>25000</v>
      </c>
      <c r="D123" s="300"/>
      <c r="E123" s="300">
        <f t="shared" si="3"/>
        <v>25000</v>
      </c>
      <c r="F123" s="339"/>
      <c r="G123" s="300">
        <f>20000+5000</f>
        <v>25000</v>
      </c>
      <c r="H123" s="300"/>
      <c r="I123" s="455"/>
      <c r="J123" s="455" t="s">
        <v>180</v>
      </c>
      <c r="K123" s="300"/>
    </row>
    <row r="124" spans="1:11" ht="31.5" x14ac:dyDescent="0.25">
      <c r="A124" s="296"/>
      <c r="B124" s="349" t="s">
        <v>549</v>
      </c>
      <c r="C124" s="339">
        <v>3500</v>
      </c>
      <c r="D124" s="300"/>
      <c r="E124" s="300">
        <f t="shared" si="3"/>
        <v>3500</v>
      </c>
      <c r="F124" s="339"/>
      <c r="G124" s="300">
        <v>3500</v>
      </c>
      <c r="H124" s="300"/>
      <c r="I124" s="455"/>
      <c r="J124" s="455" t="s">
        <v>180</v>
      </c>
      <c r="K124" s="300"/>
    </row>
    <row r="125" spans="1:11" ht="31.5" x14ac:dyDescent="0.25">
      <c r="A125" s="296"/>
      <c r="B125" s="349" t="s">
        <v>443</v>
      </c>
      <c r="C125" s="339">
        <v>2000</v>
      </c>
      <c r="D125" s="300"/>
      <c r="E125" s="300">
        <f t="shared" si="3"/>
        <v>2000</v>
      </c>
      <c r="F125" s="339"/>
      <c r="G125" s="300">
        <v>2000</v>
      </c>
      <c r="H125" s="300"/>
      <c r="I125" s="455"/>
      <c r="J125" s="455" t="s">
        <v>180</v>
      </c>
      <c r="K125" s="300"/>
    </row>
    <row r="126" spans="1:11" x14ac:dyDescent="0.25">
      <c r="A126" s="296"/>
      <c r="B126" s="345" t="s">
        <v>127</v>
      </c>
      <c r="C126" s="298">
        <v>705656</v>
      </c>
      <c r="D126" s="298">
        <f>2882-244-800+2500</f>
        <v>4338</v>
      </c>
      <c r="E126" s="298">
        <f t="shared" si="3"/>
        <v>709994</v>
      </c>
      <c r="F126" s="298">
        <f>42189-24500</f>
        <v>17689</v>
      </c>
      <c r="G126" s="298">
        <f>638245+500+490+1000+1900+2387-5000+21100+7620+20000+2882+2500</f>
        <v>693624</v>
      </c>
      <c r="H126" s="298">
        <f>-275-800-244</f>
        <v>-1319</v>
      </c>
      <c r="I126" s="446" t="s">
        <v>180</v>
      </c>
      <c r="J126" s="446" t="s">
        <v>180</v>
      </c>
      <c r="K126" s="298"/>
    </row>
    <row r="127" spans="1:11" x14ac:dyDescent="0.25">
      <c r="A127" s="296"/>
      <c r="B127" s="353" t="s">
        <v>158</v>
      </c>
      <c r="C127" s="339"/>
      <c r="D127" s="300"/>
      <c r="E127" s="300"/>
      <c r="F127" s="339"/>
      <c r="G127" s="300"/>
      <c r="H127" s="300"/>
      <c r="I127" s="455"/>
      <c r="J127" s="455"/>
      <c r="K127" s="300"/>
    </row>
    <row r="128" spans="1:11" x14ac:dyDescent="0.25">
      <c r="A128" s="296"/>
      <c r="B128" s="349" t="s">
        <v>635</v>
      </c>
      <c r="C128" s="339">
        <v>5331</v>
      </c>
      <c r="D128" s="300"/>
      <c r="E128" s="300">
        <f t="shared" ref="E128:E208" si="6">SUM(C128:D128)</f>
        <v>5331</v>
      </c>
      <c r="F128" s="339">
        <v>131</v>
      </c>
      <c r="G128" s="300">
        <v>5200</v>
      </c>
      <c r="H128" s="300"/>
      <c r="I128" s="455" t="s">
        <v>180</v>
      </c>
      <c r="J128" s="455"/>
      <c r="K128" s="300"/>
    </row>
    <row r="129" spans="1:11" x14ac:dyDescent="0.25">
      <c r="A129" s="296"/>
      <c r="B129" s="304" t="s">
        <v>638</v>
      </c>
      <c r="C129" s="339">
        <v>22000</v>
      </c>
      <c r="D129" s="300"/>
      <c r="E129" s="300">
        <f t="shared" si="6"/>
        <v>22000</v>
      </c>
      <c r="F129" s="339"/>
      <c r="G129" s="300">
        <v>22000</v>
      </c>
      <c r="H129" s="300"/>
      <c r="I129" s="455"/>
      <c r="J129" s="455" t="s">
        <v>180</v>
      </c>
      <c r="K129" s="300"/>
    </row>
    <row r="130" spans="1:11" x14ac:dyDescent="0.25">
      <c r="A130" s="296"/>
      <c r="B130" s="304" t="s">
        <v>637</v>
      </c>
      <c r="C130" s="339">
        <v>4570</v>
      </c>
      <c r="D130" s="319"/>
      <c r="E130" s="319">
        <f t="shared" si="6"/>
        <v>4570</v>
      </c>
      <c r="F130" s="339"/>
      <c r="G130" s="319">
        <v>4570</v>
      </c>
      <c r="H130" s="319"/>
      <c r="I130" s="449"/>
      <c r="J130" s="455" t="s">
        <v>180</v>
      </c>
      <c r="K130" s="319"/>
    </row>
    <row r="131" spans="1:11" ht="31.5" x14ac:dyDescent="0.25">
      <c r="A131" s="296"/>
      <c r="B131" s="304" t="s">
        <v>636</v>
      </c>
      <c r="C131" s="339">
        <v>1256</v>
      </c>
      <c r="D131" s="319"/>
      <c r="E131" s="319">
        <f t="shared" si="6"/>
        <v>1256</v>
      </c>
      <c r="F131" s="339"/>
      <c r="G131" s="319">
        <v>1256</v>
      </c>
      <c r="H131" s="319"/>
      <c r="I131" s="449"/>
      <c r="J131" s="455" t="s">
        <v>180</v>
      </c>
      <c r="K131" s="319"/>
    </row>
    <row r="132" spans="1:11" x14ac:dyDescent="0.25">
      <c r="A132" s="296"/>
      <c r="B132" s="353" t="s">
        <v>159</v>
      </c>
      <c r="C132" s="339"/>
      <c r="D132" s="300"/>
      <c r="E132" s="300"/>
      <c r="F132" s="339"/>
      <c r="G132" s="300"/>
      <c r="H132" s="300"/>
      <c r="I132" s="455"/>
      <c r="J132" s="455"/>
      <c r="K132" s="300"/>
    </row>
    <row r="133" spans="1:11" x14ac:dyDescent="0.25">
      <c r="A133" s="296"/>
      <c r="B133" s="348" t="s">
        <v>300</v>
      </c>
      <c r="C133" s="339">
        <v>1000</v>
      </c>
      <c r="D133" s="300"/>
      <c r="E133" s="300">
        <f t="shared" si="6"/>
        <v>1000</v>
      </c>
      <c r="F133" s="339"/>
      <c r="G133" s="300">
        <v>1000</v>
      </c>
      <c r="H133" s="300"/>
      <c r="I133" s="455"/>
      <c r="J133" s="455" t="s">
        <v>180</v>
      </c>
      <c r="K133" s="300"/>
    </row>
    <row r="134" spans="1:11" x14ac:dyDescent="0.25">
      <c r="A134" s="296"/>
      <c r="B134" s="348" t="s">
        <v>154</v>
      </c>
      <c r="C134" s="339">
        <v>3000</v>
      </c>
      <c r="D134" s="300"/>
      <c r="E134" s="300">
        <f t="shared" si="6"/>
        <v>3000</v>
      </c>
      <c r="F134" s="339"/>
      <c r="G134" s="300">
        <v>3000</v>
      </c>
      <c r="H134" s="300"/>
      <c r="I134" s="455"/>
      <c r="J134" s="455" t="s">
        <v>180</v>
      </c>
      <c r="K134" s="300"/>
    </row>
    <row r="135" spans="1:11" x14ac:dyDescent="0.25">
      <c r="A135" s="296"/>
      <c r="B135" s="348" t="s">
        <v>444</v>
      </c>
      <c r="C135" s="339">
        <v>18000</v>
      </c>
      <c r="D135" s="300"/>
      <c r="E135" s="300">
        <f t="shared" si="6"/>
        <v>18000</v>
      </c>
      <c r="F135" s="339"/>
      <c r="G135" s="300">
        <v>18000</v>
      </c>
      <c r="H135" s="300"/>
      <c r="I135" s="455"/>
      <c r="J135" s="455" t="s">
        <v>180</v>
      </c>
      <c r="K135" s="300"/>
    </row>
    <row r="136" spans="1:11" x14ac:dyDescent="0.25">
      <c r="A136" s="296"/>
      <c r="B136" s="348" t="s">
        <v>445</v>
      </c>
      <c r="C136" s="339">
        <v>10000</v>
      </c>
      <c r="D136" s="300"/>
      <c r="E136" s="300">
        <f t="shared" si="6"/>
        <v>10000</v>
      </c>
      <c r="F136" s="339"/>
      <c r="G136" s="300">
        <v>10000</v>
      </c>
      <c r="H136" s="300"/>
      <c r="I136" s="455"/>
      <c r="J136" s="455" t="s">
        <v>180</v>
      </c>
      <c r="K136" s="300"/>
    </row>
    <row r="137" spans="1:11" x14ac:dyDescent="0.25">
      <c r="A137" s="296"/>
      <c r="B137" s="348" t="s">
        <v>174</v>
      </c>
      <c r="C137" s="339">
        <v>1600</v>
      </c>
      <c r="D137" s="300"/>
      <c r="E137" s="300">
        <f t="shared" si="6"/>
        <v>1600</v>
      </c>
      <c r="F137" s="339"/>
      <c r="G137" s="300">
        <v>1600</v>
      </c>
      <c r="H137" s="300"/>
      <c r="I137" s="455"/>
      <c r="J137" s="455" t="s">
        <v>180</v>
      </c>
      <c r="K137" s="300"/>
    </row>
    <row r="138" spans="1:11" x14ac:dyDescent="0.25">
      <c r="A138" s="296"/>
      <c r="B138" s="348" t="s">
        <v>175</v>
      </c>
      <c r="C138" s="339">
        <v>1000</v>
      </c>
      <c r="D138" s="300"/>
      <c r="E138" s="300">
        <f t="shared" si="6"/>
        <v>1000</v>
      </c>
      <c r="F138" s="339"/>
      <c r="G138" s="300">
        <v>1000</v>
      </c>
      <c r="H138" s="300"/>
      <c r="I138" s="455"/>
      <c r="J138" s="455" t="s">
        <v>180</v>
      </c>
      <c r="K138" s="300"/>
    </row>
    <row r="139" spans="1:11" x14ac:dyDescent="0.25">
      <c r="A139" s="296"/>
      <c r="B139" s="348" t="s">
        <v>103</v>
      </c>
      <c r="C139" s="339">
        <v>2650</v>
      </c>
      <c r="D139" s="300"/>
      <c r="E139" s="300">
        <f t="shared" si="6"/>
        <v>2650</v>
      </c>
      <c r="F139" s="339"/>
      <c r="G139" s="300">
        <v>2650</v>
      </c>
      <c r="H139" s="300"/>
      <c r="I139" s="455"/>
      <c r="J139" s="455" t="s">
        <v>180</v>
      </c>
      <c r="K139" s="300"/>
    </row>
    <row r="140" spans="1:11" x14ac:dyDescent="0.25">
      <c r="A140" s="296"/>
      <c r="B140" s="348" t="s">
        <v>105</v>
      </c>
      <c r="C140" s="339">
        <v>1200</v>
      </c>
      <c r="D140" s="300"/>
      <c r="E140" s="300">
        <f t="shared" si="6"/>
        <v>1200</v>
      </c>
      <c r="F140" s="339"/>
      <c r="G140" s="300">
        <v>1200</v>
      </c>
      <c r="H140" s="300"/>
      <c r="I140" s="455"/>
      <c r="J140" s="455" t="s">
        <v>180</v>
      </c>
      <c r="K140" s="300"/>
    </row>
    <row r="141" spans="1:11" x14ac:dyDescent="0.25">
      <c r="A141" s="296"/>
      <c r="B141" s="348" t="s">
        <v>176</v>
      </c>
      <c r="C141" s="339">
        <v>1000</v>
      </c>
      <c r="D141" s="300"/>
      <c r="E141" s="300">
        <f t="shared" si="6"/>
        <v>1000</v>
      </c>
      <c r="F141" s="339"/>
      <c r="G141" s="300">
        <v>1000</v>
      </c>
      <c r="H141" s="300"/>
      <c r="I141" s="455"/>
      <c r="J141" s="455" t="s">
        <v>180</v>
      </c>
      <c r="K141" s="300"/>
    </row>
    <row r="142" spans="1:11" x14ac:dyDescent="0.25">
      <c r="A142" s="296"/>
      <c r="B142" s="348" t="s">
        <v>104</v>
      </c>
      <c r="C142" s="339">
        <v>1000</v>
      </c>
      <c r="D142" s="300"/>
      <c r="E142" s="300">
        <f t="shared" si="6"/>
        <v>1000</v>
      </c>
      <c r="F142" s="339"/>
      <c r="G142" s="300">
        <v>1000</v>
      </c>
      <c r="H142" s="300"/>
      <c r="I142" s="455"/>
      <c r="J142" s="455" t="s">
        <v>180</v>
      </c>
      <c r="K142" s="300"/>
    </row>
    <row r="143" spans="1:11" x14ac:dyDescent="0.25">
      <c r="A143" s="296"/>
      <c r="B143" s="348" t="s">
        <v>148</v>
      </c>
      <c r="C143" s="339">
        <v>11000</v>
      </c>
      <c r="D143" s="300"/>
      <c r="E143" s="300">
        <f t="shared" si="6"/>
        <v>11000</v>
      </c>
      <c r="F143" s="339">
        <v>3000</v>
      </c>
      <c r="G143" s="300">
        <v>8000</v>
      </c>
      <c r="H143" s="300"/>
      <c r="I143" s="455"/>
      <c r="J143" s="455" t="s">
        <v>180</v>
      </c>
      <c r="K143" s="300"/>
    </row>
    <row r="144" spans="1:11" ht="31.5" x14ac:dyDescent="0.25">
      <c r="A144" s="296"/>
      <c r="B144" s="348" t="s">
        <v>164</v>
      </c>
      <c r="C144" s="339">
        <v>1100</v>
      </c>
      <c r="D144" s="300"/>
      <c r="E144" s="300">
        <f t="shared" si="6"/>
        <v>1100</v>
      </c>
      <c r="F144" s="339"/>
      <c r="G144" s="300">
        <v>1100</v>
      </c>
      <c r="H144" s="300"/>
      <c r="I144" s="455"/>
      <c r="J144" s="455" t="s">
        <v>180</v>
      </c>
      <c r="K144" s="300"/>
    </row>
    <row r="145" spans="1:11" x14ac:dyDescent="0.25">
      <c r="A145" s="296"/>
      <c r="B145" s="348" t="s">
        <v>160</v>
      </c>
      <c r="C145" s="339">
        <v>4100</v>
      </c>
      <c r="D145" s="300"/>
      <c r="E145" s="300">
        <f t="shared" si="6"/>
        <v>4100</v>
      </c>
      <c r="F145" s="339"/>
      <c r="G145" s="300">
        <v>4100</v>
      </c>
      <c r="H145" s="300"/>
      <c r="I145" s="455"/>
      <c r="J145" s="455" t="s">
        <v>180</v>
      </c>
      <c r="K145" s="300"/>
    </row>
    <row r="146" spans="1:11" x14ac:dyDescent="0.25">
      <c r="A146" s="296"/>
      <c r="B146" s="348" t="s">
        <v>177</v>
      </c>
      <c r="C146" s="339">
        <v>3000</v>
      </c>
      <c r="D146" s="300">
        <v>882</v>
      </c>
      <c r="E146" s="300">
        <f t="shared" si="6"/>
        <v>3882</v>
      </c>
      <c r="F146" s="339"/>
      <c r="G146" s="300">
        <f>3000+882</f>
        <v>3882</v>
      </c>
      <c r="H146" s="300"/>
      <c r="I146" s="455"/>
      <c r="J146" s="455" t="s">
        <v>180</v>
      </c>
      <c r="K146" s="300"/>
    </row>
    <row r="147" spans="1:11" x14ac:dyDescent="0.25">
      <c r="A147" s="296"/>
      <c r="B147" s="348" t="s">
        <v>446</v>
      </c>
      <c r="C147" s="451">
        <v>21000</v>
      </c>
      <c r="D147" s="319"/>
      <c r="E147" s="319">
        <f t="shared" si="6"/>
        <v>21000</v>
      </c>
      <c r="F147" s="451"/>
      <c r="G147" s="319">
        <v>21000</v>
      </c>
      <c r="H147" s="319"/>
      <c r="I147" s="449"/>
      <c r="J147" s="455" t="s">
        <v>180</v>
      </c>
      <c r="K147" s="319"/>
    </row>
    <row r="148" spans="1:11" ht="31.5" x14ac:dyDescent="0.25">
      <c r="A148" s="296"/>
      <c r="B148" s="348" t="s">
        <v>328</v>
      </c>
      <c r="C148" s="339">
        <v>100</v>
      </c>
      <c r="D148" s="300"/>
      <c r="E148" s="300">
        <f t="shared" si="6"/>
        <v>100</v>
      </c>
      <c r="F148" s="339"/>
      <c r="G148" s="300">
        <v>100</v>
      </c>
      <c r="H148" s="300"/>
      <c r="I148" s="455"/>
      <c r="J148" s="455" t="s">
        <v>180</v>
      </c>
      <c r="K148" s="300"/>
    </row>
    <row r="149" spans="1:11" x14ac:dyDescent="0.25">
      <c r="A149" s="296"/>
      <c r="B149" s="348" t="s">
        <v>301</v>
      </c>
      <c r="C149" s="339">
        <v>61243</v>
      </c>
      <c r="D149" s="300">
        <v>2500</v>
      </c>
      <c r="E149" s="300">
        <f t="shared" si="6"/>
        <v>63743</v>
      </c>
      <c r="F149" s="339"/>
      <c r="G149" s="300">
        <f>61243+2500</f>
        <v>63743</v>
      </c>
      <c r="H149" s="300"/>
      <c r="I149" s="455"/>
      <c r="J149" s="455" t="s">
        <v>180</v>
      </c>
      <c r="K149" s="300"/>
    </row>
    <row r="150" spans="1:11" ht="47.25" x14ac:dyDescent="0.25">
      <c r="A150" s="296"/>
      <c r="B150" s="348" t="s">
        <v>733</v>
      </c>
      <c r="C150" s="339">
        <v>490</v>
      </c>
      <c r="D150" s="300"/>
      <c r="E150" s="300">
        <f t="shared" si="6"/>
        <v>490</v>
      </c>
      <c r="F150" s="339"/>
      <c r="G150" s="300">
        <v>490</v>
      </c>
      <c r="H150" s="300"/>
      <c r="I150" s="455"/>
      <c r="J150" s="455" t="s">
        <v>180</v>
      </c>
      <c r="K150" s="300"/>
    </row>
    <row r="151" spans="1:11" x14ac:dyDescent="0.25">
      <c r="A151" s="296"/>
      <c r="B151" s="348" t="s">
        <v>456</v>
      </c>
      <c r="C151" s="339">
        <v>344004</v>
      </c>
      <c r="D151" s="300"/>
      <c r="E151" s="300">
        <f t="shared" si="6"/>
        <v>344004</v>
      </c>
      <c r="F151" s="339">
        <f>36040-27500</f>
        <v>8540</v>
      </c>
      <c r="G151" s="300">
        <f>333564+1900</f>
        <v>335464</v>
      </c>
      <c r="H151" s="300"/>
      <c r="I151" s="455"/>
      <c r="J151" s="455" t="s">
        <v>180</v>
      </c>
      <c r="K151" s="300"/>
    </row>
    <row r="152" spans="1:11" x14ac:dyDescent="0.25">
      <c r="A152" s="296"/>
      <c r="B152" s="348" t="s">
        <v>302</v>
      </c>
      <c r="C152" s="451">
        <v>20000</v>
      </c>
      <c r="D152" s="319"/>
      <c r="E152" s="319">
        <f t="shared" si="6"/>
        <v>20000</v>
      </c>
      <c r="F152" s="451"/>
      <c r="G152" s="319">
        <v>20000</v>
      </c>
      <c r="H152" s="319"/>
      <c r="I152" s="449"/>
      <c r="J152" s="455" t="s">
        <v>180</v>
      </c>
      <c r="K152" s="319"/>
    </row>
    <row r="153" spans="1:11" ht="31.5" x14ac:dyDescent="0.25">
      <c r="A153" s="296"/>
      <c r="B153" s="348" t="s">
        <v>877</v>
      </c>
      <c r="C153" s="451">
        <v>20000</v>
      </c>
      <c r="D153" s="319"/>
      <c r="E153" s="319">
        <f t="shared" si="6"/>
        <v>20000</v>
      </c>
      <c r="F153" s="451"/>
      <c r="G153" s="319">
        <v>20000</v>
      </c>
      <c r="H153" s="319"/>
      <c r="I153" s="449"/>
      <c r="J153" s="455" t="s">
        <v>180</v>
      </c>
      <c r="K153" s="319"/>
    </row>
    <row r="154" spans="1:11" x14ac:dyDescent="0.25">
      <c r="A154" s="296"/>
      <c r="B154" s="348" t="s">
        <v>303</v>
      </c>
      <c r="C154" s="339">
        <v>2000</v>
      </c>
      <c r="D154" s="300"/>
      <c r="E154" s="300">
        <f t="shared" si="6"/>
        <v>2000</v>
      </c>
      <c r="F154" s="339"/>
      <c r="G154" s="300">
        <v>2000</v>
      </c>
      <c r="H154" s="300"/>
      <c r="I154" s="455"/>
      <c r="J154" s="455" t="s">
        <v>180</v>
      </c>
      <c r="K154" s="300"/>
    </row>
    <row r="155" spans="1:11" x14ac:dyDescent="0.25">
      <c r="A155" s="296"/>
      <c r="B155" s="348" t="s">
        <v>155</v>
      </c>
      <c r="C155" s="339">
        <v>2500</v>
      </c>
      <c r="D155" s="300"/>
      <c r="E155" s="300">
        <f t="shared" si="6"/>
        <v>2500</v>
      </c>
      <c r="F155" s="339"/>
      <c r="G155" s="300">
        <v>2500</v>
      </c>
      <c r="H155" s="300"/>
      <c r="I155" s="455"/>
      <c r="J155" s="455" t="s">
        <v>180</v>
      </c>
      <c r="K155" s="300"/>
    </row>
    <row r="156" spans="1:11" x14ac:dyDescent="0.25">
      <c r="A156" s="296"/>
      <c r="B156" s="348" t="s">
        <v>340</v>
      </c>
      <c r="C156" s="339">
        <v>1000</v>
      </c>
      <c r="D156" s="300"/>
      <c r="E156" s="300">
        <f t="shared" si="6"/>
        <v>1000</v>
      </c>
      <c r="F156" s="339"/>
      <c r="G156" s="300">
        <v>1000</v>
      </c>
      <c r="H156" s="300"/>
      <c r="I156" s="455"/>
      <c r="J156" s="455" t="s">
        <v>180</v>
      </c>
      <c r="K156" s="300"/>
    </row>
    <row r="157" spans="1:11" x14ac:dyDescent="0.25">
      <c r="A157" s="296"/>
      <c r="B157" s="348" t="s">
        <v>327</v>
      </c>
      <c r="C157" s="339">
        <v>1200</v>
      </c>
      <c r="D157" s="300"/>
      <c r="E157" s="300">
        <f t="shared" si="6"/>
        <v>1200</v>
      </c>
      <c r="F157" s="339"/>
      <c r="G157" s="300">
        <v>1200</v>
      </c>
      <c r="H157" s="300"/>
      <c r="I157" s="455"/>
      <c r="J157" s="455" t="s">
        <v>180</v>
      </c>
      <c r="K157" s="300"/>
    </row>
    <row r="158" spans="1:11" x14ac:dyDescent="0.25">
      <c r="A158" s="296"/>
      <c r="B158" s="348" t="s">
        <v>329</v>
      </c>
      <c r="C158" s="339">
        <v>500</v>
      </c>
      <c r="D158" s="300"/>
      <c r="E158" s="300">
        <f t="shared" si="6"/>
        <v>500</v>
      </c>
      <c r="F158" s="339"/>
      <c r="G158" s="300">
        <v>500</v>
      </c>
      <c r="H158" s="300"/>
      <c r="I158" s="455"/>
      <c r="J158" s="455" t="s">
        <v>180</v>
      </c>
      <c r="K158" s="300"/>
    </row>
    <row r="159" spans="1:11" x14ac:dyDescent="0.25">
      <c r="A159" s="296"/>
      <c r="B159" s="348" t="s">
        <v>550</v>
      </c>
      <c r="C159" s="339">
        <v>1330</v>
      </c>
      <c r="D159" s="300"/>
      <c r="E159" s="300">
        <f t="shared" si="6"/>
        <v>1330</v>
      </c>
      <c r="F159" s="339"/>
      <c r="G159" s="300">
        <v>1330</v>
      </c>
      <c r="H159" s="300"/>
      <c r="I159" s="455"/>
      <c r="J159" s="455" t="s">
        <v>180</v>
      </c>
      <c r="K159" s="300"/>
    </row>
    <row r="160" spans="1:11" ht="31.5" x14ac:dyDescent="0.25">
      <c r="A160" s="296"/>
      <c r="B160" s="348" t="s">
        <v>551</v>
      </c>
      <c r="C160" s="339">
        <v>5000</v>
      </c>
      <c r="D160" s="300"/>
      <c r="E160" s="300">
        <f t="shared" si="6"/>
        <v>5000</v>
      </c>
      <c r="F160" s="339"/>
      <c r="G160" s="300">
        <v>5000</v>
      </c>
      <c r="H160" s="300"/>
      <c r="I160" s="455"/>
      <c r="J160" s="455" t="s">
        <v>180</v>
      </c>
      <c r="K160" s="300"/>
    </row>
    <row r="161" spans="1:11" x14ac:dyDescent="0.25">
      <c r="A161" s="296"/>
      <c r="B161" s="348" t="s">
        <v>552</v>
      </c>
      <c r="C161" s="339">
        <v>1000</v>
      </c>
      <c r="D161" s="300"/>
      <c r="E161" s="300">
        <f t="shared" si="6"/>
        <v>1000</v>
      </c>
      <c r="F161" s="339"/>
      <c r="G161" s="300">
        <v>1000</v>
      </c>
      <c r="H161" s="300"/>
      <c r="I161" s="455"/>
      <c r="J161" s="455" t="s">
        <v>180</v>
      </c>
      <c r="K161" s="300"/>
    </row>
    <row r="162" spans="1:11" ht="31.5" x14ac:dyDescent="0.25">
      <c r="A162" s="296"/>
      <c r="B162" s="348" t="s">
        <v>553</v>
      </c>
      <c r="C162" s="339">
        <v>638</v>
      </c>
      <c r="D162" s="300"/>
      <c r="E162" s="300">
        <f t="shared" si="6"/>
        <v>638</v>
      </c>
      <c r="F162" s="339"/>
      <c r="G162" s="300">
        <v>638</v>
      </c>
      <c r="H162" s="300"/>
      <c r="I162" s="455"/>
      <c r="J162" s="455" t="s">
        <v>180</v>
      </c>
      <c r="K162" s="300"/>
    </row>
    <row r="163" spans="1:11" x14ac:dyDescent="0.25">
      <c r="A163" s="296"/>
      <c r="B163" s="348" t="s">
        <v>554</v>
      </c>
      <c r="C163" s="339">
        <v>500</v>
      </c>
      <c r="D163" s="300"/>
      <c r="E163" s="300">
        <f t="shared" si="6"/>
        <v>500</v>
      </c>
      <c r="F163" s="339"/>
      <c r="G163" s="300">
        <v>500</v>
      </c>
      <c r="H163" s="300"/>
      <c r="I163" s="455"/>
      <c r="J163" s="455" t="s">
        <v>180</v>
      </c>
      <c r="K163" s="300"/>
    </row>
    <row r="164" spans="1:11" x14ac:dyDescent="0.25">
      <c r="A164" s="296"/>
      <c r="B164" s="348" t="s">
        <v>555</v>
      </c>
      <c r="C164" s="339">
        <v>1000</v>
      </c>
      <c r="D164" s="300"/>
      <c r="E164" s="300">
        <f t="shared" si="6"/>
        <v>1000</v>
      </c>
      <c r="F164" s="339"/>
      <c r="G164" s="300">
        <v>1000</v>
      </c>
      <c r="H164" s="300"/>
      <c r="I164" s="455"/>
      <c r="J164" s="455" t="s">
        <v>180</v>
      </c>
      <c r="K164" s="300"/>
    </row>
    <row r="165" spans="1:11" x14ac:dyDescent="0.25">
      <c r="A165" s="296"/>
      <c r="B165" s="353" t="s">
        <v>304</v>
      </c>
      <c r="C165" s="339">
        <v>0</v>
      </c>
      <c r="D165" s="300"/>
      <c r="E165" s="300">
        <f t="shared" si="6"/>
        <v>0</v>
      </c>
      <c r="F165" s="339"/>
      <c r="G165" s="300"/>
      <c r="H165" s="300"/>
      <c r="I165" s="455"/>
      <c r="J165" s="455"/>
      <c r="K165" s="300"/>
    </row>
    <row r="166" spans="1:11" x14ac:dyDescent="0.25">
      <c r="A166" s="296"/>
      <c r="B166" s="458" t="s">
        <v>156</v>
      </c>
      <c r="C166" s="339">
        <v>1500</v>
      </c>
      <c r="D166" s="300"/>
      <c r="E166" s="300">
        <f t="shared" si="6"/>
        <v>1500</v>
      </c>
      <c r="F166" s="339"/>
      <c r="G166" s="300">
        <v>1500</v>
      </c>
      <c r="H166" s="300"/>
      <c r="I166" s="455"/>
      <c r="J166" s="455" t="s">
        <v>180</v>
      </c>
      <c r="K166" s="300"/>
    </row>
    <row r="167" spans="1:11" x14ac:dyDescent="0.25">
      <c r="A167" s="296"/>
      <c r="B167" s="458" t="s">
        <v>157</v>
      </c>
      <c r="C167" s="339">
        <v>18169</v>
      </c>
      <c r="D167" s="300"/>
      <c r="E167" s="300">
        <f t="shared" si="6"/>
        <v>18169</v>
      </c>
      <c r="F167" s="339">
        <v>549</v>
      </c>
      <c r="G167" s="300">
        <f>10000+7620</f>
        <v>17620</v>
      </c>
      <c r="H167" s="300"/>
      <c r="I167" s="455"/>
      <c r="J167" s="455" t="s">
        <v>180</v>
      </c>
      <c r="K167" s="300"/>
    </row>
    <row r="168" spans="1:11" x14ac:dyDescent="0.25">
      <c r="A168" s="296"/>
      <c r="B168" s="458" t="s">
        <v>305</v>
      </c>
      <c r="C168" s="339">
        <v>2000</v>
      </c>
      <c r="D168" s="300"/>
      <c r="E168" s="300">
        <f t="shared" si="6"/>
        <v>2000</v>
      </c>
      <c r="F168" s="339">
        <v>1000</v>
      </c>
      <c r="G168" s="300">
        <v>1000</v>
      </c>
      <c r="H168" s="300"/>
      <c r="I168" s="455"/>
      <c r="J168" s="455" t="s">
        <v>180</v>
      </c>
      <c r="K168" s="300"/>
    </row>
    <row r="169" spans="1:11" x14ac:dyDescent="0.25">
      <c r="A169" s="296"/>
      <c r="B169" s="458" t="s">
        <v>556</v>
      </c>
      <c r="C169" s="339">
        <v>13486</v>
      </c>
      <c r="D169" s="300">
        <v>756</v>
      </c>
      <c r="E169" s="300">
        <f t="shared" si="6"/>
        <v>14242</v>
      </c>
      <c r="F169" s="339">
        <v>1099</v>
      </c>
      <c r="G169" s="300">
        <f>10000+2387+1000</f>
        <v>13387</v>
      </c>
      <c r="H169" s="300">
        <v>-244</v>
      </c>
      <c r="I169" s="455"/>
      <c r="J169" s="455" t="s">
        <v>180</v>
      </c>
      <c r="K169" s="300"/>
    </row>
    <row r="170" spans="1:11" x14ac:dyDescent="0.25">
      <c r="A170" s="296"/>
      <c r="B170" s="458" t="s">
        <v>557</v>
      </c>
      <c r="C170" s="339">
        <v>1000</v>
      </c>
      <c r="D170" s="300"/>
      <c r="E170" s="300">
        <f t="shared" si="6"/>
        <v>1000</v>
      </c>
      <c r="F170" s="339"/>
      <c r="G170" s="300">
        <v>1000</v>
      </c>
      <c r="H170" s="300"/>
      <c r="I170" s="455"/>
      <c r="J170" s="455" t="s">
        <v>180</v>
      </c>
      <c r="K170" s="300"/>
    </row>
    <row r="171" spans="1:11" x14ac:dyDescent="0.25">
      <c r="A171" s="296"/>
      <c r="B171" s="458" t="s">
        <v>306</v>
      </c>
      <c r="C171" s="339">
        <v>5000</v>
      </c>
      <c r="D171" s="300"/>
      <c r="E171" s="300">
        <f t="shared" si="6"/>
        <v>5000</v>
      </c>
      <c r="F171" s="339"/>
      <c r="G171" s="300">
        <v>5000</v>
      </c>
      <c r="H171" s="300"/>
      <c r="I171" s="455"/>
      <c r="J171" s="455" t="s">
        <v>180</v>
      </c>
      <c r="K171" s="300"/>
    </row>
    <row r="172" spans="1:11" x14ac:dyDescent="0.25">
      <c r="A172" s="296"/>
      <c r="B172" s="458" t="s">
        <v>558</v>
      </c>
      <c r="C172" s="339">
        <v>1500</v>
      </c>
      <c r="D172" s="300"/>
      <c r="E172" s="300">
        <f t="shared" si="6"/>
        <v>1500</v>
      </c>
      <c r="F172" s="339"/>
      <c r="G172" s="300">
        <v>1500</v>
      </c>
      <c r="H172" s="300"/>
      <c r="I172" s="455"/>
      <c r="J172" s="455" t="s">
        <v>180</v>
      </c>
      <c r="K172" s="300"/>
    </row>
    <row r="173" spans="1:11" x14ac:dyDescent="0.25">
      <c r="A173" s="296"/>
      <c r="B173" s="458" t="s">
        <v>559</v>
      </c>
      <c r="C173" s="339">
        <v>2000</v>
      </c>
      <c r="D173" s="300"/>
      <c r="E173" s="300">
        <f t="shared" si="6"/>
        <v>2000</v>
      </c>
      <c r="F173" s="339"/>
      <c r="G173" s="300">
        <v>2000</v>
      </c>
      <c r="H173" s="300"/>
      <c r="I173" s="455"/>
      <c r="J173" s="455" t="s">
        <v>180</v>
      </c>
      <c r="K173" s="300"/>
    </row>
    <row r="174" spans="1:11" x14ac:dyDescent="0.25">
      <c r="A174" s="296"/>
      <c r="B174" s="458" t="s">
        <v>560</v>
      </c>
      <c r="C174" s="339">
        <v>500</v>
      </c>
      <c r="D174" s="300"/>
      <c r="E174" s="300">
        <f t="shared" si="6"/>
        <v>500</v>
      </c>
      <c r="F174" s="339"/>
      <c r="G174" s="300">
        <v>500</v>
      </c>
      <c r="H174" s="300"/>
      <c r="I174" s="455"/>
      <c r="J174" s="455" t="s">
        <v>180</v>
      </c>
      <c r="K174" s="300"/>
    </row>
    <row r="175" spans="1:11" ht="31.5" x14ac:dyDescent="0.25">
      <c r="A175" s="296"/>
      <c r="B175" s="458" t="s">
        <v>561</v>
      </c>
      <c r="C175" s="339">
        <v>20000</v>
      </c>
      <c r="D175" s="300"/>
      <c r="E175" s="300">
        <f t="shared" si="6"/>
        <v>20000</v>
      </c>
      <c r="F175" s="339"/>
      <c r="G175" s="300">
        <v>20000</v>
      </c>
      <c r="H175" s="300"/>
      <c r="I175" s="455"/>
      <c r="J175" s="455" t="s">
        <v>180</v>
      </c>
      <c r="K175" s="300"/>
    </row>
    <row r="176" spans="1:11" x14ac:dyDescent="0.25">
      <c r="A176" s="296"/>
      <c r="B176" s="458" t="s">
        <v>870</v>
      </c>
      <c r="C176" s="339">
        <v>21100</v>
      </c>
      <c r="D176" s="300"/>
      <c r="E176" s="300">
        <f t="shared" si="6"/>
        <v>21100</v>
      </c>
      <c r="F176" s="339"/>
      <c r="G176" s="300">
        <v>21100</v>
      </c>
      <c r="H176" s="300"/>
      <c r="I176" s="455"/>
      <c r="J176" s="455" t="s">
        <v>180</v>
      </c>
      <c r="K176" s="300"/>
    </row>
    <row r="177" spans="1:11" x14ac:dyDescent="0.25">
      <c r="A177" s="296"/>
      <c r="B177" s="458" t="s">
        <v>562</v>
      </c>
      <c r="C177" s="339">
        <v>0</v>
      </c>
      <c r="D177" s="300"/>
      <c r="E177" s="300">
        <f t="shared" si="6"/>
        <v>0</v>
      </c>
      <c r="F177" s="339"/>
      <c r="G177" s="300">
        <v>0</v>
      </c>
      <c r="H177" s="300"/>
      <c r="I177" s="455"/>
      <c r="J177" s="455" t="s">
        <v>180</v>
      </c>
      <c r="K177" s="300"/>
    </row>
    <row r="178" spans="1:11" x14ac:dyDescent="0.25">
      <c r="A178" s="296"/>
      <c r="B178" s="458" t="s">
        <v>563</v>
      </c>
      <c r="C178" s="339">
        <v>1000</v>
      </c>
      <c r="D178" s="300"/>
      <c r="E178" s="300">
        <f t="shared" si="6"/>
        <v>1000</v>
      </c>
      <c r="F178" s="339"/>
      <c r="G178" s="300">
        <v>1000</v>
      </c>
      <c r="H178" s="300"/>
      <c r="I178" s="455"/>
      <c r="J178" s="455" t="s">
        <v>180</v>
      </c>
      <c r="K178" s="300"/>
    </row>
    <row r="179" spans="1:11" x14ac:dyDescent="0.25">
      <c r="A179" s="296"/>
      <c r="B179" s="458" t="s">
        <v>817</v>
      </c>
      <c r="C179" s="339">
        <v>1000</v>
      </c>
      <c r="D179" s="300"/>
      <c r="E179" s="300">
        <f t="shared" si="6"/>
        <v>1000</v>
      </c>
      <c r="F179" s="339"/>
      <c r="G179" s="300">
        <v>1000</v>
      </c>
      <c r="H179" s="300"/>
      <c r="I179" s="455"/>
      <c r="J179" s="455" t="s">
        <v>180</v>
      </c>
      <c r="K179" s="300"/>
    </row>
    <row r="180" spans="1:11" ht="31.5" x14ac:dyDescent="0.25">
      <c r="A180" s="296"/>
      <c r="B180" s="458" t="s">
        <v>564</v>
      </c>
      <c r="C180" s="339">
        <v>100</v>
      </c>
      <c r="D180" s="300"/>
      <c r="E180" s="300">
        <f t="shared" si="6"/>
        <v>100</v>
      </c>
      <c r="F180" s="339"/>
      <c r="G180" s="300">
        <v>100</v>
      </c>
      <c r="H180" s="300"/>
      <c r="I180" s="455"/>
      <c r="J180" s="455" t="s">
        <v>180</v>
      </c>
      <c r="K180" s="300"/>
    </row>
    <row r="181" spans="1:11" x14ac:dyDescent="0.25">
      <c r="A181" s="296"/>
      <c r="B181" s="459" t="s">
        <v>565</v>
      </c>
      <c r="C181" s="339">
        <v>1000</v>
      </c>
      <c r="D181" s="319"/>
      <c r="E181" s="319">
        <f t="shared" si="6"/>
        <v>1000</v>
      </c>
      <c r="F181" s="339"/>
      <c r="G181" s="319">
        <v>1000</v>
      </c>
      <c r="H181" s="319"/>
      <c r="I181" s="449"/>
      <c r="J181" s="455" t="s">
        <v>180</v>
      </c>
      <c r="K181" s="319"/>
    </row>
    <row r="182" spans="1:11" x14ac:dyDescent="0.25">
      <c r="A182" s="296"/>
      <c r="B182" s="459" t="s">
        <v>566</v>
      </c>
      <c r="C182" s="339">
        <v>12000</v>
      </c>
      <c r="D182" s="319"/>
      <c r="E182" s="319">
        <f t="shared" si="6"/>
        <v>12000</v>
      </c>
      <c r="F182" s="339"/>
      <c r="G182" s="319">
        <v>12000</v>
      </c>
      <c r="H182" s="319"/>
      <c r="I182" s="449"/>
      <c r="J182" s="455" t="s">
        <v>180</v>
      </c>
      <c r="K182" s="319"/>
    </row>
    <row r="183" spans="1:11" x14ac:dyDescent="0.25">
      <c r="A183" s="296"/>
      <c r="B183" s="459" t="s">
        <v>567</v>
      </c>
      <c r="C183" s="339">
        <v>1500</v>
      </c>
      <c r="D183" s="319"/>
      <c r="E183" s="319">
        <f t="shared" si="6"/>
        <v>1500</v>
      </c>
      <c r="F183" s="339"/>
      <c r="G183" s="319">
        <f>1000+500</f>
        <v>1500</v>
      </c>
      <c r="H183" s="319"/>
      <c r="I183" s="449"/>
      <c r="J183" s="455" t="s">
        <v>180</v>
      </c>
      <c r="K183" s="319"/>
    </row>
    <row r="184" spans="1:11" x14ac:dyDescent="0.25">
      <c r="A184" s="296"/>
      <c r="B184" s="459" t="s">
        <v>568</v>
      </c>
      <c r="C184" s="339">
        <v>5725</v>
      </c>
      <c r="D184" s="319">
        <v>-800</v>
      </c>
      <c r="E184" s="319">
        <f t="shared" si="6"/>
        <v>4925</v>
      </c>
      <c r="F184" s="339">
        <v>400</v>
      </c>
      <c r="G184" s="319">
        <v>5600</v>
      </c>
      <c r="H184" s="319">
        <f>-275-800</f>
        <v>-1075</v>
      </c>
      <c r="I184" s="449"/>
      <c r="J184" s="455" t="s">
        <v>180</v>
      </c>
      <c r="K184" s="319"/>
    </row>
    <row r="185" spans="1:11" x14ac:dyDescent="0.25">
      <c r="A185" s="296"/>
      <c r="B185" s="459" t="s">
        <v>569</v>
      </c>
      <c r="C185" s="339">
        <v>2000</v>
      </c>
      <c r="D185" s="319"/>
      <c r="E185" s="319">
        <f t="shared" si="6"/>
        <v>2000</v>
      </c>
      <c r="F185" s="339"/>
      <c r="G185" s="319">
        <v>2000</v>
      </c>
      <c r="H185" s="319"/>
      <c r="I185" s="449"/>
      <c r="J185" s="455" t="s">
        <v>180</v>
      </c>
      <c r="K185" s="319"/>
    </row>
    <row r="186" spans="1:11" x14ac:dyDescent="0.25">
      <c r="A186" s="296"/>
      <c r="B186" s="459" t="s">
        <v>982</v>
      </c>
      <c r="C186" s="339">
        <v>0</v>
      </c>
      <c r="D186" s="319">
        <v>1000</v>
      </c>
      <c r="E186" s="319">
        <f t="shared" si="6"/>
        <v>1000</v>
      </c>
      <c r="F186" s="339"/>
      <c r="G186" s="319">
        <v>1000</v>
      </c>
      <c r="H186" s="319"/>
      <c r="I186" s="449"/>
      <c r="J186" s="455" t="s">
        <v>180</v>
      </c>
      <c r="K186" s="319"/>
    </row>
    <row r="187" spans="1:11" x14ac:dyDescent="0.25">
      <c r="A187" s="296"/>
      <c r="B187" s="459" t="s">
        <v>570</v>
      </c>
      <c r="C187" s="339">
        <v>1000</v>
      </c>
      <c r="D187" s="319"/>
      <c r="E187" s="319">
        <f t="shared" si="6"/>
        <v>1000</v>
      </c>
      <c r="F187" s="339"/>
      <c r="G187" s="319">
        <v>1000</v>
      </c>
      <c r="H187" s="319"/>
      <c r="I187" s="449"/>
      <c r="J187" s="455" t="s">
        <v>180</v>
      </c>
      <c r="K187" s="319"/>
    </row>
    <row r="188" spans="1:11" x14ac:dyDescent="0.25">
      <c r="A188" s="296"/>
      <c r="B188" s="344" t="s">
        <v>128</v>
      </c>
      <c r="C188" s="298">
        <v>26448</v>
      </c>
      <c r="D188" s="298"/>
      <c r="E188" s="298">
        <f t="shared" si="6"/>
        <v>26448</v>
      </c>
      <c r="F188" s="298"/>
      <c r="G188" s="298">
        <v>39624</v>
      </c>
      <c r="H188" s="298">
        <f>-746-12430</f>
        <v>-13176</v>
      </c>
      <c r="I188" s="446" t="s">
        <v>180</v>
      </c>
      <c r="J188" s="453"/>
      <c r="K188" s="298"/>
    </row>
    <row r="189" spans="1:11" x14ac:dyDescent="0.25">
      <c r="A189" s="296"/>
      <c r="B189" s="348" t="s">
        <v>161</v>
      </c>
      <c r="C189" s="460">
        <v>5693</v>
      </c>
      <c r="D189" s="319"/>
      <c r="E189" s="319">
        <f t="shared" si="6"/>
        <v>5693</v>
      </c>
      <c r="F189" s="460"/>
      <c r="G189" s="319">
        <v>6439</v>
      </c>
      <c r="H189" s="319">
        <v>-746</v>
      </c>
      <c r="I189" s="448" t="s">
        <v>180</v>
      </c>
      <c r="J189" s="450"/>
      <c r="K189" s="447"/>
    </row>
    <row r="190" spans="1:11" x14ac:dyDescent="0.25">
      <c r="A190" s="296"/>
      <c r="B190" s="348" t="s">
        <v>162</v>
      </c>
      <c r="C190" s="460">
        <v>20755</v>
      </c>
      <c r="D190" s="319"/>
      <c r="E190" s="319">
        <f t="shared" si="6"/>
        <v>20755</v>
      </c>
      <c r="F190" s="460"/>
      <c r="G190" s="319">
        <v>33185</v>
      </c>
      <c r="H190" s="319">
        <v>-12430</v>
      </c>
      <c r="I190" s="448" t="s">
        <v>180</v>
      </c>
      <c r="J190" s="450"/>
      <c r="K190" s="447"/>
    </row>
    <row r="191" spans="1:11" x14ac:dyDescent="0.25">
      <c r="A191" s="296"/>
      <c r="B191" s="344" t="s">
        <v>307</v>
      </c>
      <c r="C191" s="447">
        <v>350500</v>
      </c>
      <c r="D191" s="447">
        <f>28600+25000</f>
        <v>53600</v>
      </c>
      <c r="E191" s="447">
        <f t="shared" si="6"/>
        <v>404100</v>
      </c>
      <c r="F191" s="447">
        <v>0</v>
      </c>
      <c r="G191" s="447">
        <f>349200+1300+5000+20000+2000+1600+25000</f>
        <v>404100</v>
      </c>
      <c r="H191" s="447"/>
      <c r="I191" s="450"/>
      <c r="J191" s="448" t="s">
        <v>180</v>
      </c>
      <c r="K191" s="447"/>
    </row>
    <row r="192" spans="1:11" x14ac:dyDescent="0.25">
      <c r="A192" s="296"/>
      <c r="B192" s="349" t="s">
        <v>571</v>
      </c>
      <c r="C192" s="339">
        <v>60000</v>
      </c>
      <c r="D192" s="300"/>
      <c r="E192" s="300">
        <f t="shared" si="6"/>
        <v>60000</v>
      </c>
      <c r="F192" s="339"/>
      <c r="G192" s="300">
        <v>60000</v>
      </c>
      <c r="H192" s="300"/>
      <c r="I192" s="455"/>
      <c r="J192" s="455" t="s">
        <v>180</v>
      </c>
      <c r="K192" s="300"/>
    </row>
    <row r="193" spans="1:11" x14ac:dyDescent="0.25">
      <c r="A193" s="296"/>
      <c r="B193" s="349" t="s">
        <v>146</v>
      </c>
      <c r="C193" s="339">
        <v>80000</v>
      </c>
      <c r="D193" s="319">
        <v>25000</v>
      </c>
      <c r="E193" s="300">
        <f t="shared" si="6"/>
        <v>105000</v>
      </c>
      <c r="F193" s="339"/>
      <c r="G193" s="300">
        <f>80000+25000</f>
        <v>105000</v>
      </c>
      <c r="H193" s="300"/>
      <c r="I193" s="455"/>
      <c r="J193" s="455" t="s">
        <v>180</v>
      </c>
      <c r="K193" s="300"/>
    </row>
    <row r="194" spans="1:11" x14ac:dyDescent="0.25">
      <c r="A194" s="296"/>
      <c r="B194" s="349" t="s">
        <v>145</v>
      </c>
      <c r="C194" s="339">
        <v>60000</v>
      </c>
      <c r="D194" s="300"/>
      <c r="E194" s="300">
        <f t="shared" si="6"/>
        <v>60000</v>
      </c>
      <c r="F194" s="339"/>
      <c r="G194" s="300">
        <v>60000</v>
      </c>
      <c r="H194" s="300"/>
      <c r="I194" s="455"/>
      <c r="J194" s="455" t="s">
        <v>180</v>
      </c>
      <c r="K194" s="300"/>
    </row>
    <row r="195" spans="1:11" ht="31.5" x14ac:dyDescent="0.25">
      <c r="A195" s="296"/>
      <c r="B195" s="349" t="s">
        <v>572</v>
      </c>
      <c r="C195" s="339">
        <v>20500</v>
      </c>
      <c r="D195" s="300">
        <v>2000</v>
      </c>
      <c r="E195" s="300">
        <f t="shared" si="6"/>
        <v>22500</v>
      </c>
      <c r="F195" s="339"/>
      <c r="G195" s="300">
        <f>20000+500+2000</f>
        <v>22500</v>
      </c>
      <c r="H195" s="300"/>
      <c r="I195" s="455"/>
      <c r="J195" s="455" t="s">
        <v>180</v>
      </c>
      <c r="K195" s="300"/>
    </row>
    <row r="196" spans="1:11" ht="31.5" x14ac:dyDescent="0.25">
      <c r="A196" s="296"/>
      <c r="B196" s="349" t="s">
        <v>1072</v>
      </c>
      <c r="C196" s="339">
        <v>0</v>
      </c>
      <c r="D196" s="300">
        <v>1600</v>
      </c>
      <c r="E196" s="300">
        <f t="shared" si="6"/>
        <v>1600</v>
      </c>
      <c r="F196" s="339"/>
      <c r="G196" s="300">
        <v>1600</v>
      </c>
      <c r="H196" s="300"/>
      <c r="I196" s="455"/>
      <c r="J196" s="455" t="s">
        <v>180</v>
      </c>
      <c r="K196" s="300"/>
    </row>
    <row r="197" spans="1:11" x14ac:dyDescent="0.25">
      <c r="A197" s="296"/>
      <c r="B197" s="349" t="s">
        <v>95</v>
      </c>
      <c r="C197" s="339">
        <v>27000</v>
      </c>
      <c r="D197" s="300"/>
      <c r="E197" s="300">
        <f t="shared" si="6"/>
        <v>27000</v>
      </c>
      <c r="F197" s="339"/>
      <c r="G197" s="300">
        <v>27000</v>
      </c>
      <c r="H197" s="300"/>
      <c r="I197" s="455"/>
      <c r="J197" s="455" t="s">
        <v>180</v>
      </c>
      <c r="K197" s="300"/>
    </row>
    <row r="198" spans="1:11" x14ac:dyDescent="0.25">
      <c r="A198" s="296"/>
      <c r="B198" s="349" t="s">
        <v>447</v>
      </c>
      <c r="C198" s="339">
        <v>96000</v>
      </c>
      <c r="D198" s="300"/>
      <c r="E198" s="300">
        <f t="shared" si="6"/>
        <v>96000</v>
      </c>
      <c r="F198" s="339"/>
      <c r="G198" s="300">
        <v>96000</v>
      </c>
      <c r="H198" s="300"/>
      <c r="I198" s="455"/>
      <c r="J198" s="455" t="s">
        <v>180</v>
      </c>
      <c r="K198" s="300"/>
    </row>
    <row r="199" spans="1:11" x14ac:dyDescent="0.25">
      <c r="A199" s="296"/>
      <c r="B199" s="349" t="s">
        <v>972</v>
      </c>
      <c r="C199" s="339">
        <v>0</v>
      </c>
      <c r="D199" s="300">
        <v>5000</v>
      </c>
      <c r="E199" s="300">
        <f t="shared" si="6"/>
        <v>5000</v>
      </c>
      <c r="F199" s="339"/>
      <c r="G199" s="300">
        <v>5000</v>
      </c>
      <c r="H199" s="300"/>
      <c r="I199" s="455"/>
      <c r="J199" s="455" t="s">
        <v>180</v>
      </c>
      <c r="K199" s="300"/>
    </row>
    <row r="200" spans="1:11" x14ac:dyDescent="0.25">
      <c r="A200" s="296"/>
      <c r="B200" s="349" t="s">
        <v>134</v>
      </c>
      <c r="C200" s="339">
        <v>5000</v>
      </c>
      <c r="D200" s="300">
        <v>20000</v>
      </c>
      <c r="E200" s="300">
        <f t="shared" si="6"/>
        <v>25000</v>
      </c>
      <c r="F200" s="339"/>
      <c r="G200" s="300">
        <f>5000+20000</f>
        <v>25000</v>
      </c>
      <c r="H200" s="300"/>
      <c r="I200" s="455"/>
      <c r="J200" s="455" t="s">
        <v>180</v>
      </c>
      <c r="K200" s="300"/>
    </row>
    <row r="201" spans="1:11" ht="31.5" x14ac:dyDescent="0.25">
      <c r="A201" s="296"/>
      <c r="B201" s="349" t="s">
        <v>573</v>
      </c>
      <c r="C201" s="339">
        <v>2000</v>
      </c>
      <c r="D201" s="300"/>
      <c r="E201" s="300">
        <f t="shared" si="6"/>
        <v>2000</v>
      </c>
      <c r="F201" s="339"/>
      <c r="G201" s="300">
        <f>1200+800</f>
        <v>2000</v>
      </c>
      <c r="H201" s="300"/>
      <c r="I201" s="455"/>
      <c r="J201" s="455" t="s">
        <v>180</v>
      </c>
      <c r="K201" s="300"/>
    </row>
    <row r="202" spans="1:11" x14ac:dyDescent="0.25">
      <c r="A202" s="296"/>
      <c r="B202" s="344" t="s">
        <v>182</v>
      </c>
      <c r="C202" s="298">
        <v>180000</v>
      </c>
      <c r="D202" s="298"/>
      <c r="E202" s="298">
        <f t="shared" si="6"/>
        <v>180000</v>
      </c>
      <c r="F202" s="298">
        <v>0</v>
      </c>
      <c r="G202" s="298">
        <v>180000</v>
      </c>
      <c r="H202" s="298"/>
      <c r="I202" s="446" t="s">
        <v>180</v>
      </c>
      <c r="J202" s="453"/>
      <c r="K202" s="298"/>
    </row>
    <row r="203" spans="1:11" ht="31.5" x14ac:dyDescent="0.25">
      <c r="A203" s="296"/>
      <c r="B203" s="349" t="s">
        <v>74</v>
      </c>
      <c r="C203" s="339">
        <v>105000</v>
      </c>
      <c r="D203" s="300"/>
      <c r="E203" s="300">
        <f t="shared" si="6"/>
        <v>105000</v>
      </c>
      <c r="F203" s="339"/>
      <c r="G203" s="300">
        <v>105000</v>
      </c>
      <c r="H203" s="300"/>
      <c r="I203" s="455" t="s">
        <v>180</v>
      </c>
      <c r="J203" s="455"/>
      <c r="K203" s="300"/>
    </row>
    <row r="204" spans="1:11" ht="31.5" x14ac:dyDescent="0.25">
      <c r="A204" s="296"/>
      <c r="B204" s="349" t="s">
        <v>183</v>
      </c>
      <c r="C204" s="339">
        <v>40000</v>
      </c>
      <c r="D204" s="300"/>
      <c r="E204" s="300">
        <f t="shared" si="6"/>
        <v>40000</v>
      </c>
      <c r="F204" s="339"/>
      <c r="G204" s="300">
        <v>40000</v>
      </c>
      <c r="H204" s="300"/>
      <c r="I204" s="455" t="s">
        <v>180</v>
      </c>
      <c r="J204" s="455"/>
      <c r="K204" s="300"/>
    </row>
    <row r="205" spans="1:11" ht="31.5" x14ac:dyDescent="0.25">
      <c r="A205" s="296"/>
      <c r="B205" s="349" t="s">
        <v>75</v>
      </c>
      <c r="C205" s="339">
        <v>35000</v>
      </c>
      <c r="D205" s="300"/>
      <c r="E205" s="300">
        <f t="shared" si="6"/>
        <v>35000</v>
      </c>
      <c r="F205" s="339"/>
      <c r="G205" s="300">
        <v>35000</v>
      </c>
      <c r="H205" s="300"/>
      <c r="I205" s="455" t="s">
        <v>180</v>
      </c>
      <c r="J205" s="455"/>
      <c r="K205" s="300"/>
    </row>
    <row r="206" spans="1:11" x14ac:dyDescent="0.25">
      <c r="A206" s="296"/>
      <c r="B206" s="344" t="s">
        <v>308</v>
      </c>
      <c r="C206" s="298">
        <v>241256</v>
      </c>
      <c r="D206" s="298">
        <f>23000+3000+500</f>
        <v>26500</v>
      </c>
      <c r="E206" s="298">
        <f t="shared" si="6"/>
        <v>267756</v>
      </c>
      <c r="F206" s="298">
        <v>3536</v>
      </c>
      <c r="G206" s="298">
        <f>206720+3000+2500+1000+1500+20000+3000+23000+3000+500</f>
        <v>264220</v>
      </c>
      <c r="H206" s="298"/>
      <c r="I206" s="453"/>
      <c r="J206" s="446" t="s">
        <v>180</v>
      </c>
      <c r="K206" s="298"/>
    </row>
    <row r="207" spans="1:11" ht="31.5" x14ac:dyDescent="0.25">
      <c r="A207" s="296"/>
      <c r="B207" s="349" t="s">
        <v>309</v>
      </c>
      <c r="C207" s="339">
        <v>1000</v>
      </c>
      <c r="D207" s="300"/>
      <c r="E207" s="300">
        <f t="shared" si="6"/>
        <v>1000</v>
      </c>
      <c r="F207" s="339"/>
      <c r="G207" s="300">
        <v>1000</v>
      </c>
      <c r="H207" s="300"/>
      <c r="I207" s="455"/>
      <c r="J207" s="455" t="s">
        <v>180</v>
      </c>
      <c r="K207" s="300"/>
    </row>
    <row r="208" spans="1:11" x14ac:dyDescent="0.25">
      <c r="A208" s="296"/>
      <c r="B208" s="304" t="s">
        <v>448</v>
      </c>
      <c r="C208" s="339">
        <v>500</v>
      </c>
      <c r="D208" s="319"/>
      <c r="E208" s="319">
        <f t="shared" si="6"/>
        <v>500</v>
      </c>
      <c r="F208" s="339"/>
      <c r="G208" s="319">
        <v>500</v>
      </c>
      <c r="H208" s="319"/>
      <c r="I208" s="449"/>
      <c r="J208" s="449" t="s">
        <v>180</v>
      </c>
      <c r="K208" s="319"/>
    </row>
    <row r="209" spans="1:11" x14ac:dyDescent="0.25">
      <c r="A209" s="296"/>
      <c r="B209" s="304" t="s">
        <v>449</v>
      </c>
      <c r="C209" s="339">
        <v>12000</v>
      </c>
      <c r="D209" s="319"/>
      <c r="E209" s="319">
        <f t="shared" ref="E209:E259" si="7">SUM(C209:D209)</f>
        <v>12000</v>
      </c>
      <c r="F209" s="339"/>
      <c r="G209" s="319">
        <f>9500+2500</f>
        <v>12000</v>
      </c>
      <c r="H209" s="319"/>
      <c r="I209" s="449"/>
      <c r="J209" s="449" t="s">
        <v>180</v>
      </c>
      <c r="K209" s="319"/>
    </row>
    <row r="210" spans="1:11" ht="31.5" x14ac:dyDescent="0.25">
      <c r="A210" s="296"/>
      <c r="B210" s="304" t="s">
        <v>574</v>
      </c>
      <c r="C210" s="339">
        <v>34020</v>
      </c>
      <c r="D210" s="319"/>
      <c r="E210" s="319">
        <f t="shared" si="7"/>
        <v>34020</v>
      </c>
      <c r="F210" s="339"/>
      <c r="G210" s="319">
        <v>34020</v>
      </c>
      <c r="H210" s="319"/>
      <c r="I210" s="449"/>
      <c r="J210" s="449" t="s">
        <v>180</v>
      </c>
      <c r="K210" s="319"/>
    </row>
    <row r="211" spans="1:11" x14ac:dyDescent="0.25">
      <c r="A211" s="296"/>
      <c r="B211" s="304" t="s">
        <v>575</v>
      </c>
      <c r="C211" s="339">
        <v>7000</v>
      </c>
      <c r="D211" s="319"/>
      <c r="E211" s="319">
        <f t="shared" si="7"/>
        <v>7000</v>
      </c>
      <c r="F211" s="339"/>
      <c r="G211" s="319">
        <v>7000</v>
      </c>
      <c r="H211" s="319"/>
      <c r="I211" s="449"/>
      <c r="J211" s="449" t="s">
        <v>180</v>
      </c>
      <c r="K211" s="319"/>
    </row>
    <row r="212" spans="1:11" ht="31.5" x14ac:dyDescent="0.25">
      <c r="A212" s="296"/>
      <c r="B212" s="304" t="s">
        <v>576</v>
      </c>
      <c r="C212" s="339">
        <v>2000</v>
      </c>
      <c r="D212" s="319"/>
      <c r="E212" s="319">
        <f t="shared" si="7"/>
        <v>2000</v>
      </c>
      <c r="F212" s="339"/>
      <c r="G212" s="319">
        <v>2000</v>
      </c>
      <c r="H212" s="319"/>
      <c r="I212" s="449"/>
      <c r="J212" s="449" t="s">
        <v>180</v>
      </c>
      <c r="K212" s="319"/>
    </row>
    <row r="213" spans="1:11" ht="31.5" x14ac:dyDescent="0.25">
      <c r="A213" s="296"/>
      <c r="B213" s="304" t="s">
        <v>450</v>
      </c>
      <c r="C213" s="339">
        <v>1000</v>
      </c>
      <c r="D213" s="319"/>
      <c r="E213" s="319">
        <f t="shared" si="7"/>
        <v>1000</v>
      </c>
      <c r="F213" s="339"/>
      <c r="G213" s="319">
        <v>1000</v>
      </c>
      <c r="H213" s="319"/>
      <c r="I213" s="449"/>
      <c r="J213" s="449" t="s">
        <v>180</v>
      </c>
      <c r="K213" s="319"/>
    </row>
    <row r="214" spans="1:11" ht="31.5" x14ac:dyDescent="0.25">
      <c r="A214" s="296"/>
      <c r="B214" s="304" t="s">
        <v>577</v>
      </c>
      <c r="C214" s="339">
        <v>1500</v>
      </c>
      <c r="D214" s="319"/>
      <c r="E214" s="319">
        <f t="shared" si="7"/>
        <v>1500</v>
      </c>
      <c r="F214" s="339"/>
      <c r="G214" s="319">
        <v>1500</v>
      </c>
      <c r="H214" s="319"/>
      <c r="I214" s="449"/>
      <c r="J214" s="449" t="s">
        <v>180</v>
      </c>
      <c r="K214" s="319"/>
    </row>
    <row r="215" spans="1:11" ht="31.5" x14ac:dyDescent="0.25">
      <c r="A215" s="296"/>
      <c r="B215" s="304" t="s">
        <v>639</v>
      </c>
      <c r="C215" s="339">
        <v>5000</v>
      </c>
      <c r="D215" s="319"/>
      <c r="E215" s="319">
        <f t="shared" si="7"/>
        <v>5000</v>
      </c>
      <c r="F215" s="339"/>
      <c r="G215" s="319">
        <v>5000</v>
      </c>
      <c r="H215" s="319"/>
      <c r="I215" s="449"/>
      <c r="J215" s="449" t="s">
        <v>180</v>
      </c>
      <c r="K215" s="319"/>
    </row>
    <row r="216" spans="1:11" ht="47.25" x14ac:dyDescent="0.25">
      <c r="A216" s="296"/>
      <c r="B216" s="304" t="s">
        <v>640</v>
      </c>
      <c r="C216" s="339">
        <v>1200</v>
      </c>
      <c r="D216" s="319"/>
      <c r="E216" s="319">
        <f t="shared" si="7"/>
        <v>1200</v>
      </c>
      <c r="F216" s="339"/>
      <c r="G216" s="319">
        <v>1200</v>
      </c>
      <c r="H216" s="319"/>
      <c r="I216" s="449"/>
      <c r="J216" s="449" t="s">
        <v>180</v>
      </c>
      <c r="K216" s="319"/>
    </row>
    <row r="217" spans="1:11" ht="31.5" x14ac:dyDescent="0.25">
      <c r="A217" s="296"/>
      <c r="B217" s="304" t="s">
        <v>578</v>
      </c>
      <c r="C217" s="339">
        <v>30000</v>
      </c>
      <c r="D217" s="319"/>
      <c r="E217" s="319">
        <f t="shared" si="7"/>
        <v>30000</v>
      </c>
      <c r="F217" s="339"/>
      <c r="G217" s="319">
        <v>30000</v>
      </c>
      <c r="H217" s="319"/>
      <c r="I217" s="449"/>
      <c r="J217" s="449" t="s">
        <v>180</v>
      </c>
      <c r="K217" s="319"/>
    </row>
    <row r="218" spans="1:11" ht="31.5" x14ac:dyDescent="0.25">
      <c r="A218" s="296"/>
      <c r="B218" s="304" t="s">
        <v>863</v>
      </c>
      <c r="C218" s="339">
        <v>1000</v>
      </c>
      <c r="D218" s="319"/>
      <c r="E218" s="319">
        <f t="shared" si="7"/>
        <v>1000</v>
      </c>
      <c r="F218" s="339"/>
      <c r="G218" s="319">
        <v>1000</v>
      </c>
      <c r="H218" s="319"/>
      <c r="I218" s="449"/>
      <c r="J218" s="449" t="s">
        <v>180</v>
      </c>
      <c r="K218" s="319"/>
    </row>
    <row r="219" spans="1:11" ht="31.5" x14ac:dyDescent="0.25">
      <c r="A219" s="296"/>
      <c r="B219" s="304" t="s">
        <v>864</v>
      </c>
      <c r="C219" s="339">
        <v>1500</v>
      </c>
      <c r="D219" s="319"/>
      <c r="E219" s="319">
        <f t="shared" si="7"/>
        <v>1500</v>
      </c>
      <c r="F219" s="339"/>
      <c r="G219" s="319">
        <v>1500</v>
      </c>
      <c r="H219" s="319"/>
      <c r="I219" s="449"/>
      <c r="J219" s="449" t="s">
        <v>180</v>
      </c>
      <c r="K219" s="319"/>
    </row>
    <row r="220" spans="1:11" x14ac:dyDescent="0.25">
      <c r="A220" s="296"/>
      <c r="B220" s="304" t="s">
        <v>865</v>
      </c>
      <c r="C220" s="339">
        <v>20000</v>
      </c>
      <c r="D220" s="319"/>
      <c r="E220" s="319">
        <f t="shared" si="7"/>
        <v>20000</v>
      </c>
      <c r="F220" s="339"/>
      <c r="G220" s="319">
        <v>20000</v>
      </c>
      <c r="H220" s="319"/>
      <c r="I220" s="449"/>
      <c r="J220" s="449" t="s">
        <v>180</v>
      </c>
      <c r="K220" s="319"/>
    </row>
    <row r="221" spans="1:11" x14ac:dyDescent="0.25">
      <c r="A221" s="296"/>
      <c r="B221" s="304" t="s">
        <v>579</v>
      </c>
      <c r="C221" s="339">
        <v>10000</v>
      </c>
      <c r="D221" s="319"/>
      <c r="E221" s="319">
        <f t="shared" si="7"/>
        <v>10000</v>
      </c>
      <c r="F221" s="339"/>
      <c r="G221" s="319">
        <v>10000</v>
      </c>
      <c r="H221" s="319"/>
      <c r="I221" s="449"/>
      <c r="J221" s="449" t="s">
        <v>180</v>
      </c>
      <c r="K221" s="319"/>
    </row>
    <row r="222" spans="1:11" x14ac:dyDescent="0.25">
      <c r="A222" s="296"/>
      <c r="B222" s="304" t="s">
        <v>580</v>
      </c>
      <c r="C222" s="339">
        <v>4000</v>
      </c>
      <c r="D222" s="319"/>
      <c r="E222" s="319">
        <f t="shared" si="7"/>
        <v>4000</v>
      </c>
      <c r="F222" s="339"/>
      <c r="G222" s="319">
        <v>4000</v>
      </c>
      <c r="H222" s="319"/>
      <c r="I222" s="449"/>
      <c r="J222" s="449" t="s">
        <v>180</v>
      </c>
      <c r="K222" s="319"/>
    </row>
    <row r="223" spans="1:11" x14ac:dyDescent="0.25">
      <c r="A223" s="296"/>
      <c r="B223" s="304" t="s">
        <v>980</v>
      </c>
      <c r="C223" s="339">
        <v>0</v>
      </c>
      <c r="D223" s="319">
        <v>23000</v>
      </c>
      <c r="E223" s="319">
        <f t="shared" si="7"/>
        <v>23000</v>
      </c>
      <c r="F223" s="339"/>
      <c r="G223" s="319">
        <v>23000</v>
      </c>
      <c r="H223" s="319"/>
      <c r="I223" s="449"/>
      <c r="J223" s="449" t="s">
        <v>180</v>
      </c>
      <c r="K223" s="319"/>
    </row>
    <row r="224" spans="1:11" x14ac:dyDescent="0.25">
      <c r="A224" s="296"/>
      <c r="B224" s="304" t="s">
        <v>981</v>
      </c>
      <c r="C224" s="339">
        <v>0</v>
      </c>
      <c r="D224" s="319">
        <v>3000</v>
      </c>
      <c r="E224" s="319">
        <f t="shared" si="7"/>
        <v>3000</v>
      </c>
      <c r="F224" s="339"/>
      <c r="G224" s="319">
        <v>3000</v>
      </c>
      <c r="H224" s="319"/>
      <c r="I224" s="449"/>
      <c r="J224" s="449" t="s">
        <v>180</v>
      </c>
      <c r="K224" s="319"/>
    </row>
    <row r="225" spans="1:11" x14ac:dyDescent="0.25">
      <c r="A225" s="296"/>
      <c r="B225" s="304" t="s">
        <v>1069</v>
      </c>
      <c r="C225" s="339">
        <v>0</v>
      </c>
      <c r="D225" s="319">
        <v>500</v>
      </c>
      <c r="E225" s="319">
        <f>SUM(C225:D225)</f>
        <v>500</v>
      </c>
      <c r="F225" s="339"/>
      <c r="G225" s="319">
        <v>500</v>
      </c>
      <c r="H225" s="319"/>
      <c r="I225" s="449"/>
      <c r="J225" s="449" t="s">
        <v>180</v>
      </c>
      <c r="K225" s="319"/>
    </row>
    <row r="226" spans="1:11" x14ac:dyDescent="0.25">
      <c r="A226" s="296"/>
      <c r="B226" s="304" t="s">
        <v>867</v>
      </c>
      <c r="C226" s="339">
        <v>6000</v>
      </c>
      <c r="D226" s="319"/>
      <c r="E226" s="319">
        <f t="shared" si="7"/>
        <v>6000</v>
      </c>
      <c r="F226" s="339"/>
      <c r="G226" s="319">
        <v>6000</v>
      </c>
      <c r="H226" s="319"/>
      <c r="I226" s="449"/>
      <c r="J226" s="449" t="s">
        <v>180</v>
      </c>
      <c r="K226" s="319"/>
    </row>
    <row r="227" spans="1:11" x14ac:dyDescent="0.25">
      <c r="A227" s="296"/>
      <c r="B227" s="304" t="s">
        <v>833</v>
      </c>
      <c r="C227" s="339">
        <v>0</v>
      </c>
      <c r="D227" s="319"/>
      <c r="E227" s="319">
        <f t="shared" si="7"/>
        <v>0</v>
      </c>
      <c r="F227" s="339"/>
      <c r="G227" s="319">
        <v>0</v>
      </c>
      <c r="H227" s="319"/>
      <c r="I227" s="449"/>
      <c r="J227" s="449" t="s">
        <v>180</v>
      </c>
      <c r="K227" s="319"/>
    </row>
    <row r="228" spans="1:11" x14ac:dyDescent="0.25">
      <c r="A228" s="296" t="s">
        <v>129</v>
      </c>
      <c r="B228" s="346" t="s">
        <v>96</v>
      </c>
      <c r="C228" s="301">
        <v>6498</v>
      </c>
      <c r="D228" s="301"/>
      <c r="E228" s="301">
        <f t="shared" si="7"/>
        <v>6498</v>
      </c>
      <c r="F228" s="301">
        <v>498</v>
      </c>
      <c r="G228" s="301">
        <v>6000</v>
      </c>
      <c r="H228" s="301"/>
      <c r="I228" s="454" t="s">
        <v>180</v>
      </c>
      <c r="J228" s="454"/>
      <c r="K228" s="301"/>
    </row>
    <row r="229" spans="1:11" x14ac:dyDescent="0.25">
      <c r="A229" s="296" t="s">
        <v>130</v>
      </c>
      <c r="B229" s="353" t="s">
        <v>585</v>
      </c>
      <c r="C229" s="299">
        <f t="shared" ref="C229" si="8">SUM(C230+C236+C237+C238+C239)</f>
        <v>217895</v>
      </c>
      <c r="D229" s="299">
        <f>SUM(D230+D236+D237+D238+D239)</f>
        <v>-702</v>
      </c>
      <c r="E229" s="299">
        <f>SUM(E230+E236+E237+E238+E239)</f>
        <v>217193</v>
      </c>
      <c r="F229" s="299">
        <f t="shared" ref="F229:H229" si="9">SUM(F230+F236+F237+F238+F239)</f>
        <v>57973</v>
      </c>
      <c r="G229" s="299">
        <f t="shared" si="9"/>
        <v>162942</v>
      </c>
      <c r="H229" s="299">
        <f t="shared" si="9"/>
        <v>-3722</v>
      </c>
      <c r="I229" s="445" t="s">
        <v>180</v>
      </c>
      <c r="J229" s="445" t="s">
        <v>180</v>
      </c>
      <c r="K229" s="299"/>
    </row>
    <row r="230" spans="1:11" x14ac:dyDescent="0.25">
      <c r="A230" s="296"/>
      <c r="B230" s="346" t="s">
        <v>131</v>
      </c>
      <c r="C230" s="299">
        <f>SUM(C231:C235)</f>
        <v>66732</v>
      </c>
      <c r="D230" s="299">
        <f>SUM(D231:D235)</f>
        <v>0</v>
      </c>
      <c r="E230" s="299">
        <f t="shared" si="7"/>
        <v>66732</v>
      </c>
      <c r="F230" s="299">
        <v>370</v>
      </c>
      <c r="G230" s="299">
        <v>66362</v>
      </c>
      <c r="H230" s="299"/>
      <c r="I230" s="445"/>
      <c r="J230" s="445" t="s">
        <v>180</v>
      </c>
      <c r="K230" s="299"/>
    </row>
    <row r="231" spans="1:11" x14ac:dyDescent="0.25">
      <c r="A231" s="296"/>
      <c r="B231" s="348" t="s">
        <v>97</v>
      </c>
      <c r="C231" s="300">
        <v>4947</v>
      </c>
      <c r="D231" s="300"/>
      <c r="E231" s="300">
        <f t="shared" si="7"/>
        <v>4947</v>
      </c>
      <c r="F231" s="300">
        <v>70</v>
      </c>
      <c r="G231" s="300">
        <v>4877</v>
      </c>
      <c r="H231" s="300"/>
      <c r="I231" s="455"/>
      <c r="J231" s="455" t="s">
        <v>180</v>
      </c>
      <c r="K231" s="300"/>
    </row>
    <row r="232" spans="1:11" x14ac:dyDescent="0.25">
      <c r="A232" s="296"/>
      <c r="B232" s="347" t="s">
        <v>98</v>
      </c>
      <c r="C232" s="300">
        <v>1485</v>
      </c>
      <c r="D232" s="300"/>
      <c r="E232" s="300">
        <f t="shared" si="7"/>
        <v>1485</v>
      </c>
      <c r="F232" s="300">
        <v>0</v>
      </c>
      <c r="G232" s="300">
        <v>1485</v>
      </c>
      <c r="H232" s="300"/>
      <c r="I232" s="455"/>
      <c r="J232" s="455" t="s">
        <v>180</v>
      </c>
      <c r="K232" s="300"/>
    </row>
    <row r="233" spans="1:11" x14ac:dyDescent="0.25">
      <c r="A233" s="296"/>
      <c r="B233" s="347" t="s">
        <v>99</v>
      </c>
      <c r="C233" s="300">
        <v>55300</v>
      </c>
      <c r="D233" s="300"/>
      <c r="E233" s="300">
        <f t="shared" si="7"/>
        <v>55300</v>
      </c>
      <c r="F233" s="300">
        <v>300</v>
      </c>
      <c r="G233" s="300">
        <v>55000</v>
      </c>
      <c r="H233" s="300"/>
      <c r="I233" s="455" t="s">
        <v>180</v>
      </c>
      <c r="J233" s="455" t="s">
        <v>180</v>
      </c>
      <c r="K233" s="300"/>
    </row>
    <row r="234" spans="1:11" x14ac:dyDescent="0.25">
      <c r="A234" s="296"/>
      <c r="B234" s="347" t="s">
        <v>581</v>
      </c>
      <c r="C234" s="300">
        <v>1000</v>
      </c>
      <c r="D234" s="300"/>
      <c r="E234" s="300">
        <f t="shared" si="7"/>
        <v>1000</v>
      </c>
      <c r="F234" s="300"/>
      <c r="G234" s="300">
        <v>1000</v>
      </c>
      <c r="H234" s="300"/>
      <c r="I234" s="455"/>
      <c r="J234" s="455" t="s">
        <v>180</v>
      </c>
      <c r="K234" s="300"/>
    </row>
    <row r="235" spans="1:11" x14ac:dyDescent="0.25">
      <c r="A235" s="296"/>
      <c r="B235" s="347" t="s">
        <v>451</v>
      </c>
      <c r="C235" s="300">
        <v>4000</v>
      </c>
      <c r="D235" s="300"/>
      <c r="E235" s="300">
        <f t="shared" si="7"/>
        <v>4000</v>
      </c>
      <c r="F235" s="300">
        <v>0</v>
      </c>
      <c r="G235" s="300">
        <v>4000</v>
      </c>
      <c r="H235" s="300"/>
      <c r="I235" s="455"/>
      <c r="J235" s="455" t="s">
        <v>180</v>
      </c>
      <c r="K235" s="300"/>
    </row>
    <row r="236" spans="1:11" x14ac:dyDescent="0.25">
      <c r="A236" s="296"/>
      <c r="B236" s="346" t="s">
        <v>149</v>
      </c>
      <c r="C236" s="301">
        <v>38792</v>
      </c>
      <c r="D236" s="301"/>
      <c r="E236" s="301">
        <f t="shared" si="7"/>
        <v>38792</v>
      </c>
      <c r="F236" s="301">
        <v>38792</v>
      </c>
      <c r="G236" s="301">
        <v>0</v>
      </c>
      <c r="H236" s="301"/>
      <c r="I236" s="454" t="s">
        <v>180</v>
      </c>
      <c r="J236" s="454"/>
      <c r="K236" s="301"/>
    </row>
    <row r="237" spans="1:11" x14ac:dyDescent="0.25">
      <c r="A237" s="296"/>
      <c r="B237" s="346" t="s">
        <v>132</v>
      </c>
      <c r="C237" s="301">
        <v>33421</v>
      </c>
      <c r="D237" s="301">
        <v>-94</v>
      </c>
      <c r="E237" s="301">
        <f t="shared" si="7"/>
        <v>33327</v>
      </c>
      <c r="F237" s="301">
        <v>3901</v>
      </c>
      <c r="G237" s="301">
        <f>30000-320-100</f>
        <v>29580</v>
      </c>
      <c r="H237" s="301">
        <f>-60-94</f>
        <v>-154</v>
      </c>
      <c r="I237" s="454"/>
      <c r="J237" s="454" t="s">
        <v>180</v>
      </c>
      <c r="K237" s="301"/>
    </row>
    <row r="238" spans="1:11" x14ac:dyDescent="0.25">
      <c r="A238" s="296"/>
      <c r="B238" s="346" t="s">
        <v>133</v>
      </c>
      <c r="C238" s="301">
        <v>45925</v>
      </c>
      <c r="D238" s="301">
        <v>-608</v>
      </c>
      <c r="E238" s="301">
        <f t="shared" si="7"/>
        <v>45317</v>
      </c>
      <c r="F238" s="301">
        <v>6885</v>
      </c>
      <c r="G238" s="301">
        <v>42000</v>
      </c>
      <c r="H238" s="301">
        <f>-2960-608</f>
        <v>-3568</v>
      </c>
      <c r="I238" s="454"/>
      <c r="J238" s="454" t="s">
        <v>180</v>
      </c>
      <c r="K238" s="301"/>
    </row>
    <row r="239" spans="1:11" ht="16.5" thickBot="1" x14ac:dyDescent="0.3">
      <c r="A239" s="296"/>
      <c r="B239" s="346" t="s">
        <v>100</v>
      </c>
      <c r="C239" s="297">
        <v>33025</v>
      </c>
      <c r="D239" s="297"/>
      <c r="E239" s="297">
        <f t="shared" si="7"/>
        <v>33025</v>
      </c>
      <c r="F239" s="297">
        <v>8025</v>
      </c>
      <c r="G239" s="297">
        <v>25000</v>
      </c>
      <c r="H239" s="297"/>
      <c r="I239" s="445" t="s">
        <v>180</v>
      </c>
      <c r="J239" s="445"/>
      <c r="K239" s="297"/>
    </row>
    <row r="240" spans="1:11" ht="16.5" thickBot="1" x14ac:dyDescent="0.3">
      <c r="A240" s="305"/>
      <c r="B240" s="354" t="s">
        <v>108</v>
      </c>
      <c r="C240" s="306">
        <f>SUM(C229+C228+C97+C80+C73+C68+C65+C5)</f>
        <v>33152440</v>
      </c>
      <c r="D240" s="306">
        <f>SUM(D229+D228+D97+D80+D73+D68+D65+D5)</f>
        <v>1167010</v>
      </c>
      <c r="E240" s="306">
        <f t="shared" si="7"/>
        <v>34319450</v>
      </c>
      <c r="F240" s="306">
        <f>SUM(F229+F228+F97+F80+F73+F68+F65+F5)</f>
        <v>2302009</v>
      </c>
      <c r="G240" s="306">
        <f>SUM(G229+G228+G97+G80+G73+G68+G65+G5)</f>
        <v>32040560</v>
      </c>
      <c r="H240" s="306">
        <f>SUM(H229+H228+H97+H80+H73+H68+H65+H5)</f>
        <v>-23119</v>
      </c>
      <c r="I240" s="321" t="s">
        <v>181</v>
      </c>
      <c r="J240" s="321" t="s">
        <v>181</v>
      </c>
      <c r="K240" s="321" t="s">
        <v>181</v>
      </c>
    </row>
    <row r="241" spans="1:11" x14ac:dyDescent="0.25">
      <c r="A241" s="305"/>
      <c r="B241" s="355" t="s">
        <v>107</v>
      </c>
      <c r="C241" s="307">
        <v>22317</v>
      </c>
      <c r="D241" s="307">
        <v>82523</v>
      </c>
      <c r="E241" s="307">
        <f t="shared" si="7"/>
        <v>104840</v>
      </c>
      <c r="F241" s="307"/>
      <c r="G241" s="307">
        <f>250000-25178-1000-2000-662-2000+2287-46000-10500-3800-63607-20000-19000+151108+63500-2500-4000-23000-3000-5000-20000-2000-18450-1880-500-1600-2500-25000-1942</f>
        <v>161776</v>
      </c>
      <c r="H241" s="307">
        <f>-36223-20713</f>
        <v>-56936</v>
      </c>
      <c r="I241" s="461"/>
      <c r="J241" s="462" t="s">
        <v>180</v>
      </c>
      <c r="K241" s="307"/>
    </row>
    <row r="242" spans="1:11" x14ac:dyDescent="0.25">
      <c r="A242" s="305"/>
      <c r="B242" s="356" t="s">
        <v>101</v>
      </c>
      <c r="C242" s="308">
        <f>SUM(C243:C258)</f>
        <v>6551787</v>
      </c>
      <c r="D242" s="308">
        <f>SUM(D243:D258)</f>
        <v>-44029</v>
      </c>
      <c r="E242" s="308">
        <f t="shared" si="7"/>
        <v>6507758</v>
      </c>
      <c r="F242" s="308">
        <f>SUM(F243:F258)</f>
        <v>0</v>
      </c>
      <c r="G242" s="308">
        <f>SUM(G243:G258)</f>
        <v>6832134</v>
      </c>
      <c r="H242" s="308">
        <f>SUM(H243:H258)</f>
        <v>-324376</v>
      </c>
      <c r="I242" s="448" t="s">
        <v>180</v>
      </c>
      <c r="J242" s="448" t="s">
        <v>180</v>
      </c>
      <c r="K242" s="308"/>
    </row>
    <row r="243" spans="1:11" x14ac:dyDescent="0.25">
      <c r="A243" s="309"/>
      <c r="B243" s="349" t="s">
        <v>163</v>
      </c>
      <c r="C243" s="463">
        <v>39596</v>
      </c>
      <c r="D243" s="464"/>
      <c r="E243" s="464">
        <f t="shared" si="7"/>
        <v>39596</v>
      </c>
      <c r="F243" s="463"/>
      <c r="G243" s="464">
        <v>40000</v>
      </c>
      <c r="H243" s="464">
        <v>-404</v>
      </c>
      <c r="I243" s="465" t="s">
        <v>180</v>
      </c>
      <c r="J243" s="465"/>
      <c r="K243" s="464"/>
    </row>
    <row r="244" spans="1:11" ht="31.5" x14ac:dyDescent="0.25">
      <c r="A244" s="309"/>
      <c r="B244" s="349" t="s">
        <v>147</v>
      </c>
      <c r="C244" s="340">
        <v>56129</v>
      </c>
      <c r="D244" s="464">
        <v>-12367</v>
      </c>
      <c r="E244" s="464">
        <f t="shared" si="7"/>
        <v>43762</v>
      </c>
      <c r="F244" s="340"/>
      <c r="G244" s="464">
        <v>70000</v>
      </c>
      <c r="H244" s="464">
        <f>-13871-12367</f>
        <v>-26238</v>
      </c>
      <c r="I244" s="465" t="s">
        <v>180</v>
      </c>
      <c r="J244" s="465"/>
      <c r="K244" s="464"/>
    </row>
    <row r="245" spans="1:11" x14ac:dyDescent="0.25">
      <c r="A245" s="309"/>
      <c r="B245" s="349" t="s">
        <v>310</v>
      </c>
      <c r="C245" s="340">
        <v>150623</v>
      </c>
      <c r="D245" s="464">
        <v>-34942</v>
      </c>
      <c r="E245" s="464">
        <f t="shared" si="7"/>
        <v>115681</v>
      </c>
      <c r="F245" s="340"/>
      <c r="G245" s="464">
        <v>200000</v>
      </c>
      <c r="H245" s="464">
        <f>-49377-34942</f>
        <v>-84319</v>
      </c>
      <c r="I245" s="465"/>
      <c r="J245" s="465" t="s">
        <v>180</v>
      </c>
      <c r="K245" s="464"/>
    </row>
    <row r="246" spans="1:11" ht="47.25" x14ac:dyDescent="0.25">
      <c r="A246" s="309"/>
      <c r="B246" s="349" t="s">
        <v>454</v>
      </c>
      <c r="C246" s="340">
        <v>85245</v>
      </c>
      <c r="D246" s="464">
        <v>-13382</v>
      </c>
      <c r="E246" s="464">
        <f t="shared" si="7"/>
        <v>71863</v>
      </c>
      <c r="F246" s="340"/>
      <c r="G246" s="464">
        <f>100000+245+7000-20382</f>
        <v>86863</v>
      </c>
      <c r="H246" s="464">
        <v>-15000</v>
      </c>
      <c r="I246" s="465" t="s">
        <v>180</v>
      </c>
      <c r="J246" s="465"/>
      <c r="K246" s="464"/>
    </row>
    <row r="247" spans="1:11" ht="31.5" x14ac:dyDescent="0.25">
      <c r="A247" s="309"/>
      <c r="B247" s="349" t="s">
        <v>452</v>
      </c>
      <c r="C247" s="340">
        <v>49221</v>
      </c>
      <c r="D247" s="464">
        <v>-7348</v>
      </c>
      <c r="E247" s="464">
        <f t="shared" si="7"/>
        <v>41873</v>
      </c>
      <c r="F247" s="340"/>
      <c r="G247" s="464">
        <v>63361</v>
      </c>
      <c r="H247" s="464">
        <f>-14140-7348</f>
        <v>-21488</v>
      </c>
      <c r="I247" s="465" t="s">
        <v>180</v>
      </c>
      <c r="J247" s="465"/>
      <c r="K247" s="464"/>
    </row>
    <row r="248" spans="1:11" ht="31.5" x14ac:dyDescent="0.25">
      <c r="A248" s="309"/>
      <c r="B248" s="349" t="s">
        <v>582</v>
      </c>
      <c r="C248" s="340">
        <v>17550</v>
      </c>
      <c r="D248" s="464"/>
      <c r="E248" s="464">
        <f t="shared" si="7"/>
        <v>17550</v>
      </c>
      <c r="F248" s="340"/>
      <c r="G248" s="464">
        <v>17550</v>
      </c>
      <c r="H248" s="464"/>
      <c r="I248" s="465" t="s">
        <v>180</v>
      </c>
      <c r="J248" s="465"/>
      <c r="K248" s="464"/>
    </row>
    <row r="249" spans="1:11" ht="31.5" x14ac:dyDescent="0.25">
      <c r="A249" s="309"/>
      <c r="B249" s="349" t="s">
        <v>453</v>
      </c>
      <c r="C249" s="340">
        <v>10126</v>
      </c>
      <c r="D249" s="464"/>
      <c r="E249" s="464">
        <f t="shared" si="7"/>
        <v>10126</v>
      </c>
      <c r="F249" s="340"/>
      <c r="G249" s="464">
        <v>10126</v>
      </c>
      <c r="H249" s="464"/>
      <c r="I249" s="465" t="s">
        <v>180</v>
      </c>
      <c r="J249" s="465"/>
      <c r="K249" s="464"/>
    </row>
    <row r="250" spans="1:11" ht="31.5" x14ac:dyDescent="0.25">
      <c r="A250" s="309"/>
      <c r="B250" s="349" t="s">
        <v>583</v>
      </c>
      <c r="C250" s="340">
        <v>0</v>
      </c>
      <c r="D250" s="464"/>
      <c r="E250" s="464">
        <f t="shared" si="7"/>
        <v>0</v>
      </c>
      <c r="F250" s="340"/>
      <c r="G250" s="464">
        <v>0</v>
      </c>
      <c r="H250" s="464"/>
      <c r="I250" s="465"/>
      <c r="J250" s="465" t="s">
        <v>180</v>
      </c>
      <c r="K250" s="464"/>
    </row>
    <row r="251" spans="1:11" x14ac:dyDescent="0.25">
      <c r="A251" s="309"/>
      <c r="B251" s="349" t="s">
        <v>871</v>
      </c>
      <c r="C251" s="340">
        <v>20000</v>
      </c>
      <c r="D251" s="464"/>
      <c r="E251" s="464">
        <f t="shared" si="7"/>
        <v>20000</v>
      </c>
      <c r="F251" s="340"/>
      <c r="G251" s="464">
        <v>20000</v>
      </c>
      <c r="H251" s="464"/>
      <c r="I251" s="465"/>
      <c r="J251" s="465" t="s">
        <v>180</v>
      </c>
      <c r="K251" s="464"/>
    </row>
    <row r="252" spans="1:11" x14ac:dyDescent="0.25">
      <c r="A252" s="309"/>
      <c r="B252" s="349" t="s">
        <v>824</v>
      </c>
      <c r="C252" s="340">
        <v>0</v>
      </c>
      <c r="D252" s="464">
        <v>3737</v>
      </c>
      <c r="E252" s="464">
        <f t="shared" si="7"/>
        <v>3737</v>
      </c>
      <c r="F252" s="340"/>
      <c r="G252" s="464">
        <f>7217+15689-179+19167</f>
        <v>41894</v>
      </c>
      <c r="H252" s="464">
        <f>-22727-15430</f>
        <v>-38157</v>
      </c>
      <c r="I252" s="465" t="s">
        <v>180</v>
      </c>
      <c r="J252" s="465"/>
      <c r="K252" s="464"/>
    </row>
    <row r="253" spans="1:11" s="797" customFormat="1" x14ac:dyDescent="0.25">
      <c r="A253" s="796"/>
      <c r="B253" s="304" t="s">
        <v>840</v>
      </c>
      <c r="C253" s="463">
        <v>0</v>
      </c>
      <c r="D253" s="464">
        <v>0</v>
      </c>
      <c r="E253" s="464">
        <f t="shared" si="7"/>
        <v>0</v>
      </c>
      <c r="F253" s="463"/>
      <c r="G253" s="464">
        <f>32041-631</f>
        <v>31410</v>
      </c>
      <c r="H253" s="464">
        <v>-31410</v>
      </c>
      <c r="I253" s="465" t="s">
        <v>180</v>
      </c>
      <c r="J253" s="465"/>
      <c r="K253" s="464"/>
    </row>
    <row r="254" spans="1:11" s="797" customFormat="1" ht="31.5" x14ac:dyDescent="0.25">
      <c r="A254" s="796"/>
      <c r="B254" s="304" t="s">
        <v>861</v>
      </c>
      <c r="C254" s="463">
        <v>0</v>
      </c>
      <c r="D254" s="464">
        <v>0</v>
      </c>
      <c r="E254" s="464">
        <f t="shared" si="7"/>
        <v>0</v>
      </c>
      <c r="F254" s="463"/>
      <c r="G254" s="464">
        <f>30466-1633+7654</f>
        <v>36487</v>
      </c>
      <c r="H254" s="464">
        <f>-28833-7654</f>
        <v>-36487</v>
      </c>
      <c r="I254" s="465" t="s">
        <v>180</v>
      </c>
      <c r="J254" s="465"/>
      <c r="K254" s="464"/>
    </row>
    <row r="255" spans="1:11" ht="31.5" x14ac:dyDescent="0.25">
      <c r="A255" s="309"/>
      <c r="B255" s="349" t="s">
        <v>825</v>
      </c>
      <c r="C255" s="340">
        <v>2040</v>
      </c>
      <c r="D255" s="464"/>
      <c r="E255" s="464">
        <f t="shared" si="7"/>
        <v>2040</v>
      </c>
      <c r="F255" s="340"/>
      <c r="G255" s="464">
        <v>12070</v>
      </c>
      <c r="H255" s="464">
        <v>-10030</v>
      </c>
      <c r="I255" s="465" t="s">
        <v>180</v>
      </c>
      <c r="J255" s="465"/>
      <c r="K255" s="464"/>
    </row>
    <row r="256" spans="1:11" x14ac:dyDescent="0.25">
      <c r="A256" s="309"/>
      <c r="B256" s="349" t="s">
        <v>311</v>
      </c>
      <c r="C256" s="340">
        <v>150000</v>
      </c>
      <c r="D256" s="464"/>
      <c r="E256" s="464">
        <f t="shared" si="7"/>
        <v>150000</v>
      </c>
      <c r="F256" s="340"/>
      <c r="G256" s="464">
        <v>150000</v>
      </c>
      <c r="H256" s="464"/>
      <c r="I256" s="465" t="s">
        <v>180</v>
      </c>
      <c r="J256" s="465"/>
      <c r="K256" s="464"/>
    </row>
    <row r="257" spans="1:11" x14ac:dyDescent="0.25">
      <c r="A257" s="309"/>
      <c r="B257" s="349" t="s">
        <v>312</v>
      </c>
      <c r="C257" s="340">
        <v>5671257</v>
      </c>
      <c r="D257" s="310">
        <v>20273</v>
      </c>
      <c r="E257" s="310">
        <f t="shared" si="7"/>
        <v>5691530</v>
      </c>
      <c r="F257" s="340"/>
      <c r="G257" s="310">
        <f>3560295-110000+2250956-8148-20000+377750-298480</f>
        <v>5752373</v>
      </c>
      <c r="H257" s="310">
        <f>-1846-7214-5000-46783</f>
        <v>-60843</v>
      </c>
      <c r="I257" s="466" t="s">
        <v>180</v>
      </c>
      <c r="J257" s="466"/>
      <c r="K257" s="310"/>
    </row>
    <row r="258" spans="1:11" ht="16.5" thickBot="1" x14ac:dyDescent="0.3">
      <c r="A258" s="309"/>
      <c r="B258" s="347" t="s">
        <v>584</v>
      </c>
      <c r="C258" s="340">
        <v>300000</v>
      </c>
      <c r="D258" s="310"/>
      <c r="E258" s="310">
        <f t="shared" si="7"/>
        <v>300000</v>
      </c>
      <c r="F258" s="340"/>
      <c r="G258" s="310">
        <v>300000</v>
      </c>
      <c r="H258" s="310"/>
      <c r="I258" s="466"/>
      <c r="J258" s="466" t="s">
        <v>180</v>
      </c>
      <c r="K258" s="310"/>
    </row>
    <row r="259" spans="1:11" ht="16.5" thickBot="1" x14ac:dyDescent="0.3">
      <c r="A259" s="311"/>
      <c r="B259" s="354" t="s">
        <v>102</v>
      </c>
      <c r="C259" s="312">
        <f>SUM(C240+C241+C242)</f>
        <v>39726544</v>
      </c>
      <c r="D259" s="312">
        <f>SUM(D240+D241+D242)</f>
        <v>1205504</v>
      </c>
      <c r="E259" s="312">
        <f t="shared" si="7"/>
        <v>40932048</v>
      </c>
      <c r="F259" s="312">
        <f>SUM(F240+F241+F242)</f>
        <v>2302009</v>
      </c>
      <c r="G259" s="312">
        <f>SUM(G240+G241+G242)</f>
        <v>39034470</v>
      </c>
      <c r="H259" s="312">
        <f>SUM(H240+H241+H242)</f>
        <v>-404431</v>
      </c>
      <c r="I259" s="322" t="s">
        <v>181</v>
      </c>
      <c r="J259" s="322" t="s">
        <v>181</v>
      </c>
      <c r="K259" s="322" t="s">
        <v>181</v>
      </c>
    </row>
    <row r="260" spans="1:11" x14ac:dyDescent="0.25">
      <c r="C260" s="313"/>
      <c r="D260" s="313"/>
      <c r="F260" s="313"/>
      <c r="G260" s="313"/>
      <c r="H260" s="313"/>
    </row>
    <row r="261" spans="1:11" x14ac:dyDescent="0.25">
      <c r="B261" s="315"/>
      <c r="C261" s="313"/>
      <c r="D261" s="313"/>
      <c r="E261" s="313"/>
      <c r="F261" s="313"/>
      <c r="G261" s="313"/>
      <c r="H261" s="313"/>
    </row>
    <row r="263" spans="1:11" x14ac:dyDescent="0.25">
      <c r="B263" s="316"/>
      <c r="C263" s="313"/>
      <c r="D263" s="313"/>
      <c r="E263" s="313"/>
      <c r="F263" s="313"/>
      <c r="G263" s="313"/>
      <c r="H263" s="313"/>
    </row>
  </sheetData>
  <mergeCells count="2">
    <mergeCell ref="A1:K1"/>
    <mergeCell ref="A2:K2"/>
  </mergeCells>
  <phoneticPr fontId="27" type="noConversion"/>
  <printOptions horizontalCentered="1"/>
  <pageMargins left="0.19685039370078741" right="0.27559055118110237" top="0.70866141732283472" bottom="0.62992125984251968" header="0.19685039370078741" footer="0.15748031496062992"/>
  <pageSetup paperSize="9" scale="51" orientation="portrait" r:id="rId1"/>
  <headerFooter alignWithMargins="0">
    <oddHeader>&amp;R&amp;"Times New Roman CE,Félkövér"&amp;11 11. melléklet a 28/2016.(VI.24.) önkormányzati rendelethez&amp;"Times New Roman CE,Dőlt"&amp;10
12. melléklet
  a 3/2016.(II.12.) önkormányzati rendelethez</oddHeader>
    <oddFooter>&amp;C&amp;P.oldal</oddFooter>
  </headerFooter>
  <rowBreaks count="3" manualBreakCount="3">
    <brk id="74" max="10" man="1"/>
    <brk id="134" max="10" man="1"/>
    <brk id="208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zoomScaleNormal="100" workbookViewId="0">
      <pane xSplit="1" ySplit="6" topLeftCell="B76" activePane="bottomRight" state="frozen"/>
      <selection activeCell="G59" sqref="G59"/>
      <selection pane="topRight" activeCell="G59" sqref="G59"/>
      <selection pane="bottomLeft" activeCell="G59" sqref="G59"/>
      <selection pane="bottomRight" activeCell="A81" sqref="A81"/>
    </sheetView>
  </sheetViews>
  <sheetFormatPr defaultRowHeight="15.75" x14ac:dyDescent="0.25"/>
  <cols>
    <col min="1" max="1" width="59" style="2" customWidth="1"/>
    <col min="2" max="2" width="12.25" style="234" customWidth="1"/>
    <col min="3" max="3" width="12.625" style="4" customWidth="1"/>
    <col min="4" max="4" width="13.375" style="4" customWidth="1"/>
  </cols>
  <sheetData>
    <row r="1" spans="1:5" s="2" customFormat="1" x14ac:dyDescent="0.25">
      <c r="A1" s="4"/>
      <c r="B1" s="234"/>
      <c r="C1" s="4"/>
      <c r="D1" s="4"/>
      <c r="E1" s="4"/>
    </row>
    <row r="2" spans="1:5" s="2" customFormat="1" x14ac:dyDescent="0.25">
      <c r="A2" s="978" t="s">
        <v>602</v>
      </c>
      <c r="B2" s="978"/>
      <c r="C2" s="978"/>
      <c r="D2" s="978"/>
      <c r="E2" s="978"/>
    </row>
    <row r="3" spans="1:5" s="2" customFormat="1" x14ac:dyDescent="0.25">
      <c r="A3" s="978" t="s">
        <v>234</v>
      </c>
      <c r="B3" s="978"/>
      <c r="C3" s="978"/>
      <c r="D3" s="978"/>
      <c r="E3" s="978"/>
    </row>
    <row r="4" spans="1:5" x14ac:dyDescent="0.25">
      <c r="A4" s="4"/>
      <c r="E4" s="436"/>
    </row>
    <row r="5" spans="1:5" ht="16.5" thickBot="1" x14ac:dyDescent="0.3">
      <c r="A5" s="4"/>
      <c r="E5" s="436"/>
    </row>
    <row r="6" spans="1:5" ht="33" thickTop="1" thickBot="1" x14ac:dyDescent="0.3">
      <c r="A6" s="472" t="s">
        <v>472</v>
      </c>
      <c r="B6" s="473" t="s">
        <v>653</v>
      </c>
      <c r="C6" s="472" t="s">
        <v>654</v>
      </c>
      <c r="D6" s="472" t="s">
        <v>955</v>
      </c>
    </row>
    <row r="7" spans="1:5" ht="16.5" thickTop="1" x14ac:dyDescent="0.25">
      <c r="A7" s="474"/>
      <c r="B7" s="475"/>
      <c r="C7" s="476"/>
      <c r="D7" s="476"/>
    </row>
    <row r="8" spans="1:5" x14ac:dyDescent="0.25">
      <c r="A8" s="474" t="s">
        <v>223</v>
      </c>
      <c r="B8" s="475"/>
      <c r="C8" s="476"/>
      <c r="D8" s="476"/>
    </row>
    <row r="9" spans="1:5" x14ac:dyDescent="0.25">
      <c r="A9" s="336" t="s">
        <v>224</v>
      </c>
      <c r="B9" s="477">
        <v>10000</v>
      </c>
      <c r="C9" s="478"/>
      <c r="D9" s="478">
        <f>SUM(B9:C9)</f>
        <v>10000</v>
      </c>
    </row>
    <row r="10" spans="1:5" x14ac:dyDescent="0.25">
      <c r="A10" s="479" t="s">
        <v>225</v>
      </c>
      <c r="B10" s="480">
        <v>3315</v>
      </c>
      <c r="C10" s="478"/>
      <c r="D10" s="478">
        <f t="shared" ref="D10:D104" si="0">SUM(B10:C10)</f>
        <v>3315</v>
      </c>
    </row>
    <row r="11" spans="1:5" x14ac:dyDescent="0.25">
      <c r="A11" s="481" t="s">
        <v>473</v>
      </c>
      <c r="B11" s="482">
        <f>SUM(B9:B10)</f>
        <v>13315</v>
      </c>
      <c r="C11" s="482">
        <f>SUM(C9:C10)</f>
        <v>0</v>
      </c>
      <c r="D11" s="482">
        <f>SUM(D9:D10)</f>
        <v>13315</v>
      </c>
    </row>
    <row r="12" spans="1:5" x14ac:dyDescent="0.25">
      <c r="A12" s="479"/>
      <c r="B12" s="480"/>
      <c r="C12" s="478"/>
      <c r="D12" s="478"/>
    </row>
    <row r="13" spans="1:5" x14ac:dyDescent="0.25">
      <c r="A13" s="483" t="s">
        <v>474</v>
      </c>
      <c r="B13" s="484"/>
      <c r="C13" s="478"/>
      <c r="D13" s="478"/>
    </row>
    <row r="14" spans="1:5" x14ac:dyDescent="0.25">
      <c r="A14" s="485" t="s">
        <v>475</v>
      </c>
      <c r="B14" s="486">
        <v>305</v>
      </c>
      <c r="C14" s="478"/>
      <c r="D14" s="478">
        <f t="shared" si="0"/>
        <v>305</v>
      </c>
    </row>
    <row r="15" spans="1:5" x14ac:dyDescent="0.25">
      <c r="A15" s="483" t="s">
        <v>476</v>
      </c>
      <c r="B15" s="484"/>
      <c r="C15" s="478"/>
      <c r="D15" s="478"/>
    </row>
    <row r="16" spans="1:5" x14ac:dyDescent="0.25">
      <c r="A16" s="485" t="s">
        <v>477</v>
      </c>
      <c r="B16" s="486">
        <v>757</v>
      </c>
      <c r="C16" s="478"/>
      <c r="D16" s="478">
        <f t="shared" si="0"/>
        <v>757</v>
      </c>
    </row>
    <row r="17" spans="1:4" x14ac:dyDescent="0.25">
      <c r="A17" s="487" t="s">
        <v>423</v>
      </c>
      <c r="B17" s="488">
        <v>249567</v>
      </c>
      <c r="C17" s="488">
        <f>SUM(C18:C30)</f>
        <v>1643</v>
      </c>
      <c r="D17" s="488">
        <f>SUM(D18:D30)</f>
        <v>251210</v>
      </c>
    </row>
    <row r="18" spans="1:4" x14ac:dyDescent="0.25">
      <c r="A18" s="336" t="s">
        <v>478</v>
      </c>
      <c r="B18" s="477">
        <v>29362</v>
      </c>
      <c r="C18" s="478"/>
      <c r="D18" s="478">
        <f t="shared" si="0"/>
        <v>29362</v>
      </c>
    </row>
    <row r="19" spans="1:4" x14ac:dyDescent="0.25">
      <c r="A19" s="336" t="s">
        <v>479</v>
      </c>
      <c r="B19" s="477">
        <v>12065</v>
      </c>
      <c r="C19" s="478">
        <v>1643</v>
      </c>
      <c r="D19" s="478">
        <f t="shared" si="0"/>
        <v>13708</v>
      </c>
    </row>
    <row r="20" spans="1:4" x14ac:dyDescent="0.25">
      <c r="A20" s="336" t="s">
        <v>480</v>
      </c>
      <c r="B20" s="477">
        <v>8363</v>
      </c>
      <c r="C20" s="478"/>
      <c r="D20" s="478">
        <f t="shared" si="0"/>
        <v>8363</v>
      </c>
    </row>
    <row r="21" spans="1:4" x14ac:dyDescent="0.25">
      <c r="A21" s="336" t="s">
        <v>586</v>
      </c>
      <c r="B21" s="477">
        <v>4991</v>
      </c>
      <c r="C21" s="478"/>
      <c r="D21" s="478">
        <f t="shared" si="0"/>
        <v>4991</v>
      </c>
    </row>
    <row r="22" spans="1:4" x14ac:dyDescent="0.25">
      <c r="A22" s="336" t="s">
        <v>587</v>
      </c>
      <c r="B22" s="477">
        <v>10000</v>
      </c>
      <c r="C22" s="478"/>
      <c r="D22" s="478">
        <f>SUM(B22:C22)</f>
        <v>10000</v>
      </c>
    </row>
    <row r="23" spans="1:4" x14ac:dyDescent="0.25">
      <c r="A23" s="336" t="s">
        <v>481</v>
      </c>
      <c r="B23" s="477">
        <v>17739</v>
      </c>
      <c r="C23" s="478"/>
      <c r="D23" s="478">
        <f t="shared" si="0"/>
        <v>17739</v>
      </c>
    </row>
    <row r="24" spans="1:4" x14ac:dyDescent="0.25">
      <c r="A24" s="336" t="s">
        <v>482</v>
      </c>
      <c r="B24" s="477">
        <v>5080</v>
      </c>
      <c r="C24" s="478"/>
      <c r="D24" s="478">
        <f t="shared" si="0"/>
        <v>5080</v>
      </c>
    </row>
    <row r="25" spans="1:4" x14ac:dyDescent="0.25">
      <c r="A25" s="336" t="s">
        <v>483</v>
      </c>
      <c r="B25" s="477">
        <v>8967</v>
      </c>
      <c r="C25" s="478"/>
      <c r="D25" s="478">
        <f t="shared" si="0"/>
        <v>8967</v>
      </c>
    </row>
    <row r="26" spans="1:4" x14ac:dyDescent="0.25">
      <c r="A26" s="485" t="s">
        <v>484</v>
      </c>
      <c r="B26" s="486">
        <v>15000</v>
      </c>
      <c r="C26" s="478"/>
      <c r="D26" s="478">
        <f t="shared" si="0"/>
        <v>15000</v>
      </c>
    </row>
    <row r="27" spans="1:4" x14ac:dyDescent="0.25">
      <c r="A27" s="336" t="s">
        <v>485</v>
      </c>
      <c r="B27" s="477">
        <v>18000</v>
      </c>
      <c r="C27" s="478"/>
      <c r="D27" s="478">
        <f t="shared" si="0"/>
        <v>18000</v>
      </c>
    </row>
    <row r="28" spans="1:4" ht="31.5" x14ac:dyDescent="0.25">
      <c r="A28" s="336" t="s">
        <v>486</v>
      </c>
      <c r="B28" s="477">
        <v>60000</v>
      </c>
      <c r="C28" s="478"/>
      <c r="D28" s="478">
        <f t="shared" si="0"/>
        <v>60000</v>
      </c>
    </row>
    <row r="29" spans="1:4" x14ac:dyDescent="0.25">
      <c r="A29" s="336" t="s">
        <v>487</v>
      </c>
      <c r="B29" s="477">
        <v>20000</v>
      </c>
      <c r="C29" s="478"/>
      <c r="D29" s="478">
        <f t="shared" si="0"/>
        <v>20000</v>
      </c>
    </row>
    <row r="30" spans="1:4" x14ac:dyDescent="0.25">
      <c r="A30" s="336" t="s">
        <v>488</v>
      </c>
      <c r="B30" s="477">
        <v>40000</v>
      </c>
      <c r="C30" s="478"/>
      <c r="D30" s="478">
        <f t="shared" si="0"/>
        <v>40000</v>
      </c>
    </row>
    <row r="31" spans="1:4" x14ac:dyDescent="0.25">
      <c r="A31" s="487" t="s">
        <v>489</v>
      </c>
      <c r="B31" s="488">
        <v>494400</v>
      </c>
      <c r="C31" s="488">
        <f t="shared" ref="C31:D31" si="1">SUM(C32:C46)</f>
        <v>-6044</v>
      </c>
      <c r="D31" s="488">
        <f t="shared" si="1"/>
        <v>488356</v>
      </c>
    </row>
    <row r="32" spans="1:4" x14ac:dyDescent="0.25">
      <c r="A32" s="336" t="s">
        <v>588</v>
      </c>
      <c r="B32" s="477">
        <v>130000</v>
      </c>
      <c r="C32" s="478"/>
      <c r="D32" s="478">
        <f t="shared" si="0"/>
        <v>130000</v>
      </c>
    </row>
    <row r="33" spans="1:4" x14ac:dyDescent="0.25">
      <c r="A33" s="336" t="s">
        <v>490</v>
      </c>
      <c r="B33" s="477">
        <v>35000</v>
      </c>
      <c r="C33" s="478"/>
      <c r="D33" s="478">
        <f t="shared" si="0"/>
        <v>35000</v>
      </c>
    </row>
    <row r="34" spans="1:4" x14ac:dyDescent="0.25">
      <c r="A34" s="336" t="s">
        <v>589</v>
      </c>
      <c r="B34" s="477">
        <v>35000</v>
      </c>
      <c r="C34" s="478"/>
      <c r="D34" s="478">
        <f t="shared" si="0"/>
        <v>35000</v>
      </c>
    </row>
    <row r="35" spans="1:4" x14ac:dyDescent="0.25">
      <c r="A35" s="336" t="s">
        <v>491</v>
      </c>
      <c r="B35" s="477">
        <v>10000</v>
      </c>
      <c r="C35" s="478"/>
      <c r="D35" s="478">
        <f t="shared" si="0"/>
        <v>10000</v>
      </c>
    </row>
    <row r="36" spans="1:4" x14ac:dyDescent="0.25">
      <c r="A36" s="336" t="s">
        <v>492</v>
      </c>
      <c r="B36" s="477">
        <v>35000</v>
      </c>
      <c r="C36" s="478"/>
      <c r="D36" s="478">
        <f t="shared" si="0"/>
        <v>35000</v>
      </c>
    </row>
    <row r="37" spans="1:4" x14ac:dyDescent="0.25">
      <c r="A37" s="336" t="s">
        <v>493</v>
      </c>
      <c r="B37" s="477">
        <v>60000</v>
      </c>
      <c r="C37" s="478"/>
      <c r="D37" s="478">
        <f t="shared" si="0"/>
        <v>60000</v>
      </c>
    </row>
    <row r="38" spans="1:4" x14ac:dyDescent="0.25">
      <c r="A38" s="336" t="s">
        <v>494</v>
      </c>
      <c r="B38" s="477">
        <v>35000</v>
      </c>
      <c r="C38" s="478">
        <v>-6044</v>
      </c>
      <c r="D38" s="478">
        <f t="shared" si="0"/>
        <v>28956</v>
      </c>
    </row>
    <row r="39" spans="1:4" x14ac:dyDescent="0.25">
      <c r="A39" s="336" t="s">
        <v>495</v>
      </c>
      <c r="B39" s="477">
        <v>25000</v>
      </c>
      <c r="C39" s="478"/>
      <c r="D39" s="478">
        <f t="shared" si="0"/>
        <v>25000</v>
      </c>
    </row>
    <row r="40" spans="1:4" ht="31.5" x14ac:dyDescent="0.25">
      <c r="A40" s="336" t="s">
        <v>496</v>
      </c>
      <c r="B40" s="477">
        <v>10000</v>
      </c>
      <c r="C40" s="478"/>
      <c r="D40" s="478">
        <f t="shared" si="0"/>
        <v>10000</v>
      </c>
    </row>
    <row r="41" spans="1:4" x14ac:dyDescent="0.25">
      <c r="A41" s="336" t="s">
        <v>497</v>
      </c>
      <c r="B41" s="477">
        <v>20000</v>
      </c>
      <c r="C41" s="478"/>
      <c r="D41" s="478">
        <f t="shared" si="0"/>
        <v>20000</v>
      </c>
    </row>
    <row r="42" spans="1:4" x14ac:dyDescent="0.25">
      <c r="A42" s="336" t="s">
        <v>498</v>
      </c>
      <c r="B42" s="477">
        <v>30000</v>
      </c>
      <c r="C42" s="478"/>
      <c r="D42" s="478">
        <f t="shared" si="0"/>
        <v>30000</v>
      </c>
    </row>
    <row r="43" spans="1:4" x14ac:dyDescent="0.25">
      <c r="A43" s="336" t="s">
        <v>590</v>
      </c>
      <c r="B43" s="477">
        <v>3000</v>
      </c>
      <c r="C43" s="489"/>
      <c r="D43" s="478">
        <f t="shared" si="0"/>
        <v>3000</v>
      </c>
    </row>
    <row r="44" spans="1:4" ht="31.5" x14ac:dyDescent="0.25">
      <c r="A44" s="336" t="s">
        <v>591</v>
      </c>
      <c r="B44" s="477">
        <v>36000</v>
      </c>
      <c r="C44" s="478"/>
      <c r="D44" s="478">
        <f t="shared" si="0"/>
        <v>36000</v>
      </c>
    </row>
    <row r="45" spans="1:4" ht="36" customHeight="1" x14ac:dyDescent="0.25">
      <c r="A45" s="336" t="s">
        <v>531</v>
      </c>
      <c r="B45" s="477">
        <v>15400</v>
      </c>
      <c r="C45" s="478"/>
      <c r="D45" s="478">
        <f>SUM(B45:C45)</f>
        <v>15400</v>
      </c>
    </row>
    <row r="46" spans="1:4" ht="31.5" x14ac:dyDescent="0.25">
      <c r="A46" s="336" t="s">
        <v>592</v>
      </c>
      <c r="B46" s="477">
        <v>15000</v>
      </c>
      <c r="C46" s="478"/>
      <c r="D46" s="478">
        <f t="shared" si="0"/>
        <v>15000</v>
      </c>
    </row>
    <row r="47" spans="1:4" x14ac:dyDescent="0.25">
      <c r="A47" s="487" t="s">
        <v>499</v>
      </c>
      <c r="B47" s="488"/>
      <c r="C47" s="478"/>
      <c r="D47" s="478"/>
    </row>
    <row r="48" spans="1:4" ht="31.5" x14ac:dyDescent="0.25">
      <c r="A48" s="336" t="s">
        <v>544</v>
      </c>
      <c r="B48" s="477">
        <v>39000</v>
      </c>
      <c r="C48" s="478"/>
      <c r="D48" s="478">
        <f t="shared" si="0"/>
        <v>39000</v>
      </c>
    </row>
    <row r="49" spans="1:4" x14ac:dyDescent="0.25">
      <c r="A49" s="336" t="s">
        <v>532</v>
      </c>
      <c r="B49" s="477">
        <v>15000</v>
      </c>
      <c r="C49" s="478"/>
      <c r="D49" s="478">
        <f t="shared" si="0"/>
        <v>15000</v>
      </c>
    </row>
    <row r="50" spans="1:4" x14ac:dyDescent="0.25">
      <c r="A50" s="336"/>
      <c r="B50" s="477"/>
      <c r="C50" s="478"/>
      <c r="D50" s="478"/>
    </row>
    <row r="51" spans="1:4" x14ac:dyDescent="0.25">
      <c r="A51" s="336" t="s">
        <v>500</v>
      </c>
      <c r="B51" s="477">
        <v>5000</v>
      </c>
      <c r="C51" s="478"/>
      <c r="D51" s="478">
        <f t="shared" si="0"/>
        <v>5000</v>
      </c>
    </row>
    <row r="52" spans="1:4" x14ac:dyDescent="0.25">
      <c r="A52" s="336" t="s">
        <v>501</v>
      </c>
      <c r="B52" s="477">
        <v>14000</v>
      </c>
      <c r="C52" s="478"/>
      <c r="D52" s="478">
        <f t="shared" si="0"/>
        <v>14000</v>
      </c>
    </row>
    <row r="53" spans="1:4" ht="31.5" x14ac:dyDescent="0.25">
      <c r="A53" s="336" t="s">
        <v>593</v>
      </c>
      <c r="B53" s="477">
        <v>1600</v>
      </c>
      <c r="C53" s="478"/>
      <c r="D53" s="478">
        <f t="shared" si="0"/>
        <v>1600</v>
      </c>
    </row>
    <row r="54" spans="1:4" x14ac:dyDescent="0.25">
      <c r="A54" s="336" t="s">
        <v>880</v>
      </c>
      <c r="B54" s="477">
        <v>19000</v>
      </c>
      <c r="C54" s="478">
        <v>4401</v>
      </c>
      <c r="D54" s="478">
        <f t="shared" si="0"/>
        <v>23401</v>
      </c>
    </row>
    <row r="55" spans="1:4" x14ac:dyDescent="0.25">
      <c r="A55" s="490" t="s">
        <v>502</v>
      </c>
      <c r="B55" s="491">
        <f>SUM(B48:B54,B31,B17,B16,B14)</f>
        <v>838629</v>
      </c>
      <c r="C55" s="491">
        <f>SUM(C48:C54,C31,C17,C16,C14)</f>
        <v>0</v>
      </c>
      <c r="D55" s="491">
        <f>SUM(D48:D54,D31,D17,D16,D14)</f>
        <v>838629</v>
      </c>
    </row>
    <row r="56" spans="1:4" x14ac:dyDescent="0.25">
      <c r="A56" s="490"/>
      <c r="B56" s="484"/>
      <c r="C56" s="491"/>
      <c r="D56" s="478"/>
    </row>
    <row r="57" spans="1:4" x14ac:dyDescent="0.25">
      <c r="A57" s="483" t="s">
        <v>503</v>
      </c>
      <c r="B57" s="492"/>
      <c r="C57" s="491"/>
      <c r="D57" s="478"/>
    </row>
    <row r="58" spans="1:4" x14ac:dyDescent="0.25">
      <c r="A58" s="485" t="s">
        <v>504</v>
      </c>
      <c r="B58" s="486">
        <v>317</v>
      </c>
      <c r="C58" s="493"/>
      <c r="D58" s="478">
        <f t="shared" si="0"/>
        <v>317</v>
      </c>
    </row>
    <row r="59" spans="1:4" x14ac:dyDescent="0.25">
      <c r="A59" s="336" t="s">
        <v>505</v>
      </c>
      <c r="B59" s="477">
        <v>48824</v>
      </c>
      <c r="C59" s="478"/>
      <c r="D59" s="478">
        <f t="shared" si="0"/>
        <v>48824</v>
      </c>
    </row>
    <row r="60" spans="1:4" x14ac:dyDescent="0.25">
      <c r="A60" s="336" t="s">
        <v>506</v>
      </c>
      <c r="B60" s="494">
        <v>11000</v>
      </c>
      <c r="C60" s="495"/>
      <c r="D60" s="478">
        <f t="shared" si="0"/>
        <v>11000</v>
      </c>
    </row>
    <row r="61" spans="1:4" x14ac:dyDescent="0.25">
      <c r="A61" s="336" t="s">
        <v>594</v>
      </c>
      <c r="B61" s="494">
        <v>11500</v>
      </c>
      <c r="C61" s="495"/>
      <c r="D61" s="478">
        <f t="shared" si="0"/>
        <v>11500</v>
      </c>
    </row>
    <row r="62" spans="1:4" ht="31.5" x14ac:dyDescent="0.25">
      <c r="A62" s="336" t="s">
        <v>595</v>
      </c>
      <c r="B62" s="494">
        <v>12700</v>
      </c>
      <c r="C62" s="495"/>
      <c r="D62" s="478">
        <f t="shared" si="0"/>
        <v>12700</v>
      </c>
    </row>
    <row r="63" spans="1:4" x14ac:dyDescent="0.25">
      <c r="A63" s="336" t="s">
        <v>507</v>
      </c>
      <c r="B63" s="494">
        <v>6900</v>
      </c>
      <c r="C63" s="495">
        <v>3600</v>
      </c>
      <c r="D63" s="478">
        <f t="shared" si="0"/>
        <v>10500</v>
      </c>
    </row>
    <row r="64" spans="1:4" x14ac:dyDescent="0.25">
      <c r="A64" s="336" t="s">
        <v>508</v>
      </c>
      <c r="B64" s="494">
        <v>17785</v>
      </c>
      <c r="C64" s="495"/>
      <c r="D64" s="478">
        <f t="shared" si="0"/>
        <v>17785</v>
      </c>
    </row>
    <row r="65" spans="1:4" x14ac:dyDescent="0.25">
      <c r="A65" s="336" t="s">
        <v>509</v>
      </c>
      <c r="B65" s="494">
        <v>28750</v>
      </c>
      <c r="C65" s="495"/>
      <c r="D65" s="478">
        <f t="shared" si="0"/>
        <v>28750</v>
      </c>
    </row>
    <row r="66" spans="1:4" x14ac:dyDescent="0.25">
      <c r="A66" s="487" t="s">
        <v>510</v>
      </c>
      <c r="B66" s="496">
        <f>SUM(B58:B65)</f>
        <v>137776</v>
      </c>
      <c r="C66" s="496">
        <f>SUM(C58:C65)</f>
        <v>3600</v>
      </c>
      <c r="D66" s="496">
        <f>SUM(D58:D65)</f>
        <v>141376</v>
      </c>
    </row>
    <row r="67" spans="1:4" x14ac:dyDescent="0.25">
      <c r="A67" s="336"/>
      <c r="B67" s="494"/>
      <c r="C67" s="495"/>
      <c r="D67" s="478"/>
    </row>
    <row r="68" spans="1:4" x14ac:dyDescent="0.25">
      <c r="A68" s="487" t="s">
        <v>226</v>
      </c>
      <c r="B68" s="497"/>
      <c r="C68" s="495"/>
      <c r="D68" s="478"/>
    </row>
    <row r="69" spans="1:4" x14ac:dyDescent="0.25">
      <c r="A69" s="336" t="s">
        <v>227</v>
      </c>
      <c r="B69" s="477">
        <v>11079</v>
      </c>
      <c r="C69" s="478"/>
      <c r="D69" s="478">
        <f t="shared" si="0"/>
        <v>11079</v>
      </c>
    </row>
    <row r="70" spans="1:4" x14ac:dyDescent="0.25">
      <c r="A70" s="336" t="s">
        <v>228</v>
      </c>
      <c r="B70" s="477">
        <v>16828</v>
      </c>
      <c r="C70" s="478"/>
      <c r="D70" s="478">
        <f t="shared" si="0"/>
        <v>16828</v>
      </c>
    </row>
    <row r="71" spans="1:4" x14ac:dyDescent="0.25">
      <c r="A71" s="336" t="s">
        <v>511</v>
      </c>
      <c r="B71" s="477">
        <v>37052</v>
      </c>
      <c r="C71" s="478"/>
      <c r="D71" s="478">
        <f t="shared" si="0"/>
        <v>37052</v>
      </c>
    </row>
    <row r="72" spans="1:4" x14ac:dyDescent="0.25">
      <c r="A72" s="336" t="s">
        <v>512</v>
      </c>
      <c r="B72" s="477">
        <v>22225</v>
      </c>
      <c r="C72" s="478"/>
      <c r="D72" s="478">
        <f t="shared" si="0"/>
        <v>22225</v>
      </c>
    </row>
    <row r="73" spans="1:4" x14ac:dyDescent="0.25">
      <c r="A73" s="336" t="s">
        <v>229</v>
      </c>
      <c r="B73" s="477">
        <v>25860</v>
      </c>
      <c r="C73" s="478"/>
      <c r="D73" s="478">
        <f t="shared" si="0"/>
        <v>25860</v>
      </c>
    </row>
    <row r="74" spans="1:4" x14ac:dyDescent="0.25">
      <c r="A74" s="336" t="s">
        <v>513</v>
      </c>
      <c r="B74" s="477">
        <v>85000</v>
      </c>
      <c r="C74" s="478"/>
      <c r="D74" s="478">
        <f t="shared" si="0"/>
        <v>85000</v>
      </c>
    </row>
    <row r="75" spans="1:4" x14ac:dyDescent="0.25">
      <c r="A75" s="336" t="s">
        <v>422</v>
      </c>
      <c r="B75" s="477">
        <v>17508</v>
      </c>
      <c r="C75" s="478"/>
      <c r="D75" s="478">
        <f t="shared" si="0"/>
        <v>17508</v>
      </c>
    </row>
    <row r="76" spans="1:4" x14ac:dyDescent="0.25">
      <c r="A76" s="336" t="s">
        <v>599</v>
      </c>
      <c r="B76" s="477">
        <v>218440</v>
      </c>
      <c r="C76" s="478"/>
      <c r="D76" s="478">
        <f t="shared" si="0"/>
        <v>218440</v>
      </c>
    </row>
    <row r="77" spans="1:4" ht="47.25" x14ac:dyDescent="0.25">
      <c r="A77" s="336" t="s">
        <v>598</v>
      </c>
      <c r="B77" s="477">
        <v>11363514</v>
      </c>
      <c r="C77" s="478"/>
      <c r="D77" s="478">
        <f t="shared" si="0"/>
        <v>11363514</v>
      </c>
    </row>
    <row r="78" spans="1:4" ht="47.25" x14ac:dyDescent="0.25">
      <c r="A78" s="336" t="s">
        <v>600</v>
      </c>
      <c r="B78" s="477">
        <v>2833467</v>
      </c>
      <c r="C78" s="478"/>
      <c r="D78" s="478">
        <f t="shared" si="0"/>
        <v>2833467</v>
      </c>
    </row>
    <row r="79" spans="1:4" ht="31.5" x14ac:dyDescent="0.25">
      <c r="A79" s="336" t="s">
        <v>596</v>
      </c>
      <c r="B79" s="477">
        <v>220000</v>
      </c>
      <c r="C79" s="478"/>
      <c r="D79" s="478">
        <f t="shared" si="0"/>
        <v>220000</v>
      </c>
    </row>
    <row r="80" spans="1:4" ht="31.5" x14ac:dyDescent="0.25">
      <c r="A80" s="336" t="s">
        <v>597</v>
      </c>
      <c r="B80" s="477">
        <v>20100</v>
      </c>
      <c r="C80" s="478"/>
      <c r="D80" s="478">
        <f t="shared" si="0"/>
        <v>20100</v>
      </c>
    </row>
    <row r="81" spans="1:4" ht="31.5" x14ac:dyDescent="0.25">
      <c r="A81" s="336" t="s">
        <v>952</v>
      </c>
      <c r="B81" s="477">
        <v>0</v>
      </c>
      <c r="C81" s="478">
        <v>7200</v>
      </c>
      <c r="D81" s="478">
        <f t="shared" si="0"/>
        <v>7200</v>
      </c>
    </row>
    <row r="82" spans="1:4" ht="47.25" x14ac:dyDescent="0.25">
      <c r="A82" s="336" t="s">
        <v>460</v>
      </c>
      <c r="B82" s="477">
        <v>7582</v>
      </c>
      <c r="C82" s="478"/>
      <c r="D82" s="478">
        <f t="shared" si="0"/>
        <v>7582</v>
      </c>
    </row>
    <row r="83" spans="1:4" x14ac:dyDescent="0.25">
      <c r="A83" s="336" t="s">
        <v>230</v>
      </c>
      <c r="B83" s="477">
        <v>271169</v>
      </c>
      <c r="C83" s="478"/>
      <c r="D83" s="478">
        <f t="shared" si="0"/>
        <v>271169</v>
      </c>
    </row>
    <row r="84" spans="1:4" x14ac:dyDescent="0.25">
      <c r="A84" s="336" t="s">
        <v>285</v>
      </c>
      <c r="B84" s="477">
        <v>10000</v>
      </c>
      <c r="C84" s="478"/>
      <c r="D84" s="478">
        <f t="shared" si="0"/>
        <v>10000</v>
      </c>
    </row>
    <row r="85" spans="1:4" x14ac:dyDescent="0.25">
      <c r="A85" s="336" t="s">
        <v>232</v>
      </c>
      <c r="B85" s="477">
        <v>1372</v>
      </c>
      <c r="C85" s="478"/>
      <c r="D85" s="478">
        <f t="shared" si="0"/>
        <v>1372</v>
      </c>
    </row>
    <row r="86" spans="1:4" ht="31.5" x14ac:dyDescent="0.25">
      <c r="A86" s="336" t="s">
        <v>514</v>
      </c>
      <c r="B86" s="477">
        <v>15000</v>
      </c>
      <c r="C86" s="478"/>
      <c r="D86" s="478">
        <f t="shared" si="0"/>
        <v>15000</v>
      </c>
    </row>
    <row r="87" spans="1:4" ht="31.5" x14ac:dyDescent="0.25">
      <c r="A87" s="336" t="s">
        <v>231</v>
      </c>
      <c r="B87" s="477">
        <v>35000</v>
      </c>
      <c r="C87" s="478"/>
      <c r="D87" s="478">
        <f t="shared" si="0"/>
        <v>35000</v>
      </c>
    </row>
    <row r="88" spans="1:4" x14ac:dyDescent="0.25">
      <c r="A88" s="336" t="s">
        <v>537</v>
      </c>
      <c r="B88" s="477">
        <v>22842</v>
      </c>
      <c r="C88" s="478"/>
      <c r="D88" s="478">
        <f t="shared" si="0"/>
        <v>22842</v>
      </c>
    </row>
    <row r="89" spans="1:4" x14ac:dyDescent="0.25">
      <c r="A89" s="336" t="s">
        <v>612</v>
      </c>
      <c r="B89" s="477">
        <v>9953</v>
      </c>
      <c r="C89" s="478"/>
      <c r="D89" s="478">
        <f t="shared" si="0"/>
        <v>9953</v>
      </c>
    </row>
    <row r="90" spans="1:4" x14ac:dyDescent="0.25">
      <c r="A90" s="479" t="s">
        <v>528</v>
      </c>
      <c r="B90" s="480">
        <v>16000</v>
      </c>
      <c r="C90" s="478"/>
      <c r="D90" s="478">
        <f t="shared" si="0"/>
        <v>16000</v>
      </c>
    </row>
    <row r="91" spans="1:4" x14ac:dyDescent="0.25">
      <c r="A91" s="479" t="s">
        <v>515</v>
      </c>
      <c r="B91" s="480">
        <v>10000</v>
      </c>
      <c r="C91" s="478"/>
      <c r="D91" s="478">
        <f t="shared" si="0"/>
        <v>10000</v>
      </c>
    </row>
    <row r="92" spans="1:4" ht="31.5" x14ac:dyDescent="0.25">
      <c r="A92" s="479" t="s">
        <v>834</v>
      </c>
      <c r="B92" s="480">
        <v>18288</v>
      </c>
      <c r="C92" s="478"/>
      <c r="D92" s="478">
        <f t="shared" si="0"/>
        <v>18288</v>
      </c>
    </row>
    <row r="93" spans="1:4" ht="47.25" x14ac:dyDescent="0.25">
      <c r="A93" s="479" t="s">
        <v>949</v>
      </c>
      <c r="B93" s="480">
        <v>0</v>
      </c>
      <c r="C93" s="478">
        <v>15000</v>
      </c>
      <c r="D93" s="478">
        <f t="shared" si="0"/>
        <v>15000</v>
      </c>
    </row>
    <row r="94" spans="1:4" ht="31.5" x14ac:dyDescent="0.25">
      <c r="A94" s="479" t="s">
        <v>967</v>
      </c>
      <c r="B94" s="480">
        <v>0</v>
      </c>
      <c r="C94" s="478">
        <v>12986</v>
      </c>
      <c r="D94" s="478">
        <f t="shared" si="0"/>
        <v>12986</v>
      </c>
    </row>
    <row r="95" spans="1:4" ht="47.25" x14ac:dyDescent="0.25">
      <c r="A95" s="479" t="s">
        <v>988</v>
      </c>
      <c r="B95" s="480">
        <v>0</v>
      </c>
      <c r="C95" s="478">
        <v>2500</v>
      </c>
      <c r="D95" s="478">
        <f t="shared" si="0"/>
        <v>2500</v>
      </c>
    </row>
    <row r="96" spans="1:4" ht="31.5" x14ac:dyDescent="0.25">
      <c r="A96" s="479" t="s">
        <v>1106</v>
      </c>
      <c r="B96" s="480">
        <v>0</v>
      </c>
      <c r="C96" s="478">
        <v>1942</v>
      </c>
      <c r="D96" s="478">
        <f t="shared" si="0"/>
        <v>1942</v>
      </c>
    </row>
    <row r="97" spans="1:4" ht="31.5" x14ac:dyDescent="0.25">
      <c r="A97" s="479" t="s">
        <v>526</v>
      </c>
      <c r="B97" s="480">
        <v>508990</v>
      </c>
      <c r="C97" s="478"/>
      <c r="D97" s="478">
        <f t="shared" si="0"/>
        <v>508990</v>
      </c>
    </row>
    <row r="98" spans="1:4" x14ac:dyDescent="0.25">
      <c r="A98" s="479" t="s">
        <v>527</v>
      </c>
      <c r="B98" s="480">
        <v>400000</v>
      </c>
      <c r="C98" s="478"/>
      <c r="D98" s="478">
        <f t="shared" si="0"/>
        <v>400000</v>
      </c>
    </row>
    <row r="99" spans="1:4" ht="31.5" x14ac:dyDescent="0.25">
      <c r="A99" s="479" t="s">
        <v>529</v>
      </c>
      <c r="B99" s="480">
        <v>40000</v>
      </c>
      <c r="C99" s="478"/>
      <c r="D99" s="478">
        <f t="shared" si="0"/>
        <v>40000</v>
      </c>
    </row>
    <row r="100" spans="1:4" x14ac:dyDescent="0.25">
      <c r="A100" s="479" t="s">
        <v>516</v>
      </c>
      <c r="B100" s="480">
        <v>8418</v>
      </c>
      <c r="C100" s="478"/>
      <c r="D100" s="478">
        <f t="shared" si="0"/>
        <v>8418</v>
      </c>
    </row>
    <row r="101" spans="1:4" x14ac:dyDescent="0.25">
      <c r="A101" s="479" t="s">
        <v>530</v>
      </c>
      <c r="B101" s="480">
        <v>150000</v>
      </c>
      <c r="C101" s="478"/>
      <c r="D101" s="478">
        <f t="shared" si="0"/>
        <v>150000</v>
      </c>
    </row>
    <row r="102" spans="1:4" x14ac:dyDescent="0.25">
      <c r="A102" s="479" t="s">
        <v>525</v>
      </c>
      <c r="B102" s="480">
        <v>600000</v>
      </c>
      <c r="C102" s="478">
        <v>-600000</v>
      </c>
      <c r="D102" s="478">
        <f t="shared" si="0"/>
        <v>0</v>
      </c>
    </row>
    <row r="103" spans="1:4" ht="31.5" x14ac:dyDescent="0.25">
      <c r="A103" s="479" t="s">
        <v>517</v>
      </c>
      <c r="B103" s="480">
        <v>546721</v>
      </c>
      <c r="C103" s="478"/>
      <c r="D103" s="478">
        <f t="shared" si="0"/>
        <v>546721</v>
      </c>
    </row>
    <row r="104" spans="1:4" x14ac:dyDescent="0.25">
      <c r="A104" s="479" t="s">
        <v>524</v>
      </c>
      <c r="B104" s="480">
        <v>900000</v>
      </c>
      <c r="C104" s="478"/>
      <c r="D104" s="478">
        <f t="shared" si="0"/>
        <v>900000</v>
      </c>
    </row>
    <row r="105" spans="1:4" x14ac:dyDescent="0.25">
      <c r="A105" s="481" t="s">
        <v>518</v>
      </c>
      <c r="B105" s="482">
        <f>SUM(B69:B104)</f>
        <v>18442408</v>
      </c>
      <c r="C105" s="482">
        <f>SUM(C69:C104)</f>
        <v>-560372</v>
      </c>
      <c r="D105" s="482">
        <f>SUM(D69:D104)</f>
        <v>17882036</v>
      </c>
    </row>
    <row r="106" spans="1:4" x14ac:dyDescent="0.25">
      <c r="A106" s="479"/>
      <c r="B106" s="480"/>
      <c r="C106" s="478"/>
      <c r="D106" s="478"/>
    </row>
    <row r="107" spans="1:4" x14ac:dyDescent="0.25">
      <c r="A107" s="498"/>
      <c r="B107" s="499"/>
      <c r="C107" s="499"/>
      <c r="D107" s="478"/>
    </row>
    <row r="108" spans="1:4" ht="31.5" x14ac:dyDescent="0.25">
      <c r="A108" s="487" t="s">
        <v>533</v>
      </c>
      <c r="B108" s="500"/>
      <c r="C108" s="499"/>
      <c r="D108" s="478"/>
    </row>
    <row r="109" spans="1:4" ht="31.5" x14ac:dyDescent="0.25">
      <c r="A109" s="479" t="s">
        <v>519</v>
      </c>
      <c r="B109" s="480">
        <v>406000</v>
      </c>
      <c r="C109" s="499">
        <v>188320</v>
      </c>
      <c r="D109" s="478">
        <f t="shared" ref="D109:D121" si="2">SUM(B109:C109)</f>
        <v>594320</v>
      </c>
    </row>
    <row r="110" spans="1:4" ht="31.5" x14ac:dyDescent="0.25">
      <c r="A110" s="479" t="s">
        <v>520</v>
      </c>
      <c r="B110" s="480">
        <v>518000</v>
      </c>
      <c r="C110" s="499">
        <v>-518000</v>
      </c>
      <c r="D110" s="478">
        <f t="shared" si="2"/>
        <v>0</v>
      </c>
    </row>
    <row r="111" spans="1:4" x14ac:dyDescent="0.25">
      <c r="A111" s="479" t="s">
        <v>1084</v>
      </c>
      <c r="B111" s="480">
        <v>0</v>
      </c>
      <c r="C111" s="499">
        <v>518000</v>
      </c>
      <c r="D111" s="478">
        <f t="shared" si="2"/>
        <v>518000</v>
      </c>
    </row>
    <row r="112" spans="1:4" x14ac:dyDescent="0.25">
      <c r="A112" s="479" t="s">
        <v>535</v>
      </c>
      <c r="B112" s="480">
        <v>203000</v>
      </c>
      <c r="C112" s="499">
        <v>-203000</v>
      </c>
      <c r="D112" s="478">
        <f t="shared" si="2"/>
        <v>0</v>
      </c>
    </row>
    <row r="113" spans="1:4" x14ac:dyDescent="0.25">
      <c r="A113" s="501" t="s">
        <v>459</v>
      </c>
      <c r="B113" s="785">
        <v>17000</v>
      </c>
      <c r="C113" s="478">
        <v>-17000</v>
      </c>
      <c r="D113" s="478">
        <f t="shared" si="2"/>
        <v>0</v>
      </c>
    </row>
    <row r="114" spans="1:4" ht="31.5" x14ac:dyDescent="0.25">
      <c r="A114" s="501" t="s">
        <v>1047</v>
      </c>
      <c r="B114" s="785"/>
      <c r="C114" s="478">
        <v>222662</v>
      </c>
      <c r="D114" s="478">
        <f t="shared" si="2"/>
        <v>222662</v>
      </c>
    </row>
    <row r="115" spans="1:4" x14ac:dyDescent="0.25">
      <c r="A115" s="336" t="s">
        <v>536</v>
      </c>
      <c r="B115" s="477">
        <v>105000</v>
      </c>
      <c r="C115" s="478">
        <v>-105000</v>
      </c>
      <c r="D115" s="478">
        <f t="shared" si="2"/>
        <v>0</v>
      </c>
    </row>
    <row r="116" spans="1:4" x14ac:dyDescent="0.25">
      <c r="A116" s="336" t="s">
        <v>1085</v>
      </c>
      <c r="B116" s="477">
        <v>0</v>
      </c>
      <c r="C116" s="478">
        <v>106696</v>
      </c>
      <c r="D116" s="478">
        <f t="shared" si="2"/>
        <v>106696</v>
      </c>
    </row>
    <row r="117" spans="1:4" ht="31.5" x14ac:dyDescent="0.25">
      <c r="A117" s="336" t="s">
        <v>521</v>
      </c>
      <c r="B117" s="477">
        <v>94000</v>
      </c>
      <c r="C117" s="478"/>
      <c r="D117" s="478">
        <f t="shared" si="2"/>
        <v>94000</v>
      </c>
    </row>
    <row r="118" spans="1:4" ht="31.5" x14ac:dyDescent="0.25">
      <c r="A118" s="336" t="s">
        <v>1100</v>
      </c>
      <c r="B118" s="477">
        <v>0</v>
      </c>
      <c r="C118" s="478">
        <v>302353</v>
      </c>
      <c r="D118" s="478">
        <f t="shared" si="2"/>
        <v>302353</v>
      </c>
    </row>
    <row r="119" spans="1:4" ht="31.5" x14ac:dyDescent="0.25">
      <c r="A119" s="336" t="s">
        <v>1086</v>
      </c>
      <c r="B119" s="477">
        <v>0</v>
      </c>
      <c r="C119" s="478">
        <v>1098000</v>
      </c>
      <c r="D119" s="478">
        <f t="shared" si="2"/>
        <v>1098000</v>
      </c>
    </row>
    <row r="120" spans="1:4" x14ac:dyDescent="0.25">
      <c r="A120" s="336" t="s">
        <v>522</v>
      </c>
      <c r="B120" s="477">
        <v>165000</v>
      </c>
      <c r="C120" s="478">
        <v>-165000</v>
      </c>
      <c r="D120" s="478">
        <f t="shared" si="2"/>
        <v>0</v>
      </c>
    </row>
    <row r="121" spans="1:4" x14ac:dyDescent="0.25">
      <c r="A121" s="336" t="s">
        <v>523</v>
      </c>
      <c r="B121" s="477">
        <v>200000</v>
      </c>
      <c r="C121" s="478">
        <v>-200000</v>
      </c>
      <c r="D121" s="478">
        <f t="shared" si="2"/>
        <v>0</v>
      </c>
    </row>
    <row r="122" spans="1:4" x14ac:dyDescent="0.25">
      <c r="A122" s="487" t="s">
        <v>534</v>
      </c>
      <c r="B122" s="482">
        <f>SUM(B109:B121)</f>
        <v>1708000</v>
      </c>
      <c r="C122" s="482">
        <f>SUM(C109:C121)</f>
        <v>1228031</v>
      </c>
      <c r="D122" s="482">
        <f>SUM(D109:D121)</f>
        <v>2936031</v>
      </c>
    </row>
    <row r="123" spans="1:4" ht="16.5" thickBot="1" x14ac:dyDescent="0.3">
      <c r="A123" s="502"/>
      <c r="B123" s="494"/>
      <c r="C123" s="478"/>
      <c r="D123" s="478"/>
    </row>
    <row r="124" spans="1:4" ht="16.5" thickBot="1" x14ac:dyDescent="0.3">
      <c r="A124" s="3" t="s">
        <v>233</v>
      </c>
      <c r="B124" s="503">
        <f>SUM(B122+B105+B66+B55+B11)</f>
        <v>21140128</v>
      </c>
      <c r="C124" s="503">
        <f>SUM(C122+C105+C66+C55+C11)</f>
        <v>671259</v>
      </c>
      <c r="D124" s="503">
        <f>SUM(D122+D105+D66+D55+D11)</f>
        <v>21811387</v>
      </c>
    </row>
    <row r="125" spans="1:4" ht="16.5" thickTop="1" x14ac:dyDescent="0.25">
      <c r="D125" s="235"/>
    </row>
  </sheetData>
  <mergeCells count="2">
    <mergeCell ref="A2:E2"/>
    <mergeCell ref="A3:E3"/>
  </mergeCells>
  <pageMargins left="0.6692913385826772" right="0.6692913385826772" top="0.74803149606299213" bottom="0.74803149606299213" header="0.31496062992125984" footer="0.31496062992125984"/>
  <pageSetup paperSize="9" scale="85" orientation="portrait" r:id="rId1"/>
  <headerFooter>
    <oddHeader>&amp;R&amp;"Times New Roman CE,Félkövér"&amp;11 12. melléklet a 28/2016.(VI.24.) önkormányzati rendelethez&amp;12
&amp;"Times New Roman CE,Dőlt"&amp;10 13. melléklet
a 3/2016.(II.12.) önkormányzati rendelethez</oddHeader>
    <oddFooter>&amp;C&amp;P.oldal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opLeftCell="A87" zoomScaleNormal="100" workbookViewId="0">
      <selection activeCell="M96" sqref="M96"/>
    </sheetView>
  </sheetViews>
  <sheetFormatPr defaultRowHeight="15.75" x14ac:dyDescent="0.25"/>
  <cols>
    <col min="1" max="1" width="26.5" style="573" customWidth="1"/>
    <col min="2" max="2" width="43.375" style="574" customWidth="1"/>
    <col min="3" max="3" width="11.5" style="575" customWidth="1"/>
    <col min="4" max="5" width="12.125" style="576" customWidth="1"/>
  </cols>
  <sheetData>
    <row r="1" spans="1:8" s="571" customFormat="1" ht="31.5" customHeight="1" x14ac:dyDescent="0.25">
      <c r="A1" s="979" t="s">
        <v>678</v>
      </c>
      <c r="B1" s="979"/>
      <c r="C1" s="979"/>
      <c r="D1" s="979"/>
      <c r="E1" s="979"/>
      <c r="F1" s="570"/>
      <c r="G1" s="570"/>
      <c r="H1" s="570"/>
    </row>
    <row r="2" spans="1:8" x14ac:dyDescent="0.25">
      <c r="A2" s="572"/>
      <c r="B2" s="572"/>
      <c r="C2" s="572"/>
      <c r="D2" s="572"/>
      <c r="E2" s="572"/>
    </row>
    <row r="3" spans="1:8" ht="16.5" thickBot="1" x14ac:dyDescent="0.3"/>
    <row r="4" spans="1:8" ht="48" thickBot="1" x14ac:dyDescent="0.3">
      <c r="A4" s="577" t="s">
        <v>184</v>
      </c>
      <c r="B4" s="578" t="s">
        <v>679</v>
      </c>
      <c r="C4" s="579" t="s">
        <v>653</v>
      </c>
      <c r="D4" s="579" t="s">
        <v>654</v>
      </c>
      <c r="E4" s="579" t="s">
        <v>835</v>
      </c>
    </row>
    <row r="5" spans="1:8" ht="15.75" customHeight="1" x14ac:dyDescent="0.25">
      <c r="A5" s="980" t="s">
        <v>680</v>
      </c>
      <c r="B5" s="981"/>
      <c r="C5" s="981"/>
      <c r="D5" s="981"/>
      <c r="E5" s="982"/>
    </row>
    <row r="6" spans="1:8" ht="31.5" x14ac:dyDescent="0.25">
      <c r="A6" s="580" t="s">
        <v>681</v>
      </c>
      <c r="B6" s="581" t="s">
        <v>682</v>
      </c>
      <c r="C6" s="582">
        <v>23000</v>
      </c>
      <c r="D6" s="583"/>
      <c r="E6" s="583">
        <f>SUM(C6:D6)</f>
        <v>23000</v>
      </c>
    </row>
    <row r="7" spans="1:8" ht="31.5" x14ac:dyDescent="0.25">
      <c r="A7" s="581"/>
      <c r="B7" s="581" t="s">
        <v>683</v>
      </c>
      <c r="C7" s="582">
        <v>13000</v>
      </c>
      <c r="D7" s="583"/>
      <c r="E7" s="583">
        <f t="shared" ref="E7:E9" si="0">SUM(C7:D7)</f>
        <v>13000</v>
      </c>
    </row>
    <row r="8" spans="1:8" x14ac:dyDescent="0.25">
      <c r="A8" s="581"/>
      <c r="B8" s="581" t="s">
        <v>684</v>
      </c>
      <c r="C8" s="582">
        <v>3000</v>
      </c>
      <c r="D8" s="583"/>
      <c r="E8" s="583">
        <f t="shared" si="0"/>
        <v>3000</v>
      </c>
    </row>
    <row r="9" spans="1:8" ht="31.5" x14ac:dyDescent="0.25">
      <c r="A9" s="581"/>
      <c r="B9" s="581" t="s">
        <v>685</v>
      </c>
      <c r="C9" s="582">
        <v>6000</v>
      </c>
      <c r="D9" s="583"/>
      <c r="E9" s="583">
        <f t="shared" si="0"/>
        <v>6000</v>
      </c>
    </row>
    <row r="10" spans="1:8" x14ac:dyDescent="0.25">
      <c r="A10" s="580"/>
      <c r="B10" s="580" t="s">
        <v>686</v>
      </c>
      <c r="C10" s="584">
        <v>45000</v>
      </c>
      <c r="D10" s="584">
        <f t="shared" ref="D10:E10" si="1">SUM(D6:D9)</f>
        <v>0</v>
      </c>
      <c r="E10" s="584">
        <f t="shared" si="1"/>
        <v>45000</v>
      </c>
    </row>
    <row r="11" spans="1:8" x14ac:dyDescent="0.25">
      <c r="A11" s="581"/>
      <c r="B11" s="581"/>
      <c r="C11" s="582"/>
      <c r="D11" s="583"/>
      <c r="E11" s="583"/>
    </row>
    <row r="12" spans="1:8" x14ac:dyDescent="0.25">
      <c r="A12" s="580" t="s">
        <v>731</v>
      </c>
      <c r="B12" s="581" t="s">
        <v>732</v>
      </c>
      <c r="C12" s="582">
        <v>4226</v>
      </c>
      <c r="D12" s="583"/>
      <c r="E12" s="583">
        <f>SUM(C12:D12)</f>
        <v>4226</v>
      </c>
    </row>
    <row r="13" spans="1:8" x14ac:dyDescent="0.25">
      <c r="A13" s="581"/>
      <c r="B13" s="580" t="s">
        <v>686</v>
      </c>
      <c r="C13" s="584">
        <f>SUM(C12)</f>
        <v>4226</v>
      </c>
      <c r="D13" s="584">
        <f t="shared" ref="D13:E13" si="2">SUM(D12)</f>
        <v>0</v>
      </c>
      <c r="E13" s="584">
        <f t="shared" si="2"/>
        <v>4226</v>
      </c>
    </row>
    <row r="14" spans="1:8" x14ac:dyDescent="0.25">
      <c r="A14" s="581"/>
      <c r="B14" s="580"/>
      <c r="C14" s="584"/>
      <c r="D14" s="584"/>
      <c r="E14" s="584"/>
    </row>
    <row r="15" spans="1:8" ht="31.5" x14ac:dyDescent="0.25">
      <c r="A15" s="580" t="s">
        <v>687</v>
      </c>
      <c r="B15" s="581" t="s">
        <v>688</v>
      </c>
      <c r="C15" s="582">
        <v>21593</v>
      </c>
      <c r="D15" s="583"/>
      <c r="E15" s="583">
        <f>SUM(C15:D15)</f>
        <v>21593</v>
      </c>
    </row>
    <row r="16" spans="1:8" x14ac:dyDescent="0.25">
      <c r="A16" s="581"/>
      <c r="B16" s="580" t="s">
        <v>686</v>
      </c>
      <c r="C16" s="584">
        <v>21593</v>
      </c>
      <c r="D16" s="584">
        <f t="shared" ref="D16:E16" si="3">SUM(D15)</f>
        <v>0</v>
      </c>
      <c r="E16" s="584">
        <f t="shared" si="3"/>
        <v>21593</v>
      </c>
    </row>
    <row r="17" spans="1:5" x14ac:dyDescent="0.25">
      <c r="A17" s="581"/>
      <c r="B17" s="580"/>
      <c r="C17" s="584"/>
      <c r="D17" s="584"/>
      <c r="E17" s="584"/>
    </row>
    <row r="18" spans="1:5" ht="47.25" x14ac:dyDescent="0.25">
      <c r="A18" s="580" t="s">
        <v>689</v>
      </c>
      <c r="B18" s="581" t="s">
        <v>690</v>
      </c>
      <c r="C18" s="582">
        <v>11994</v>
      </c>
      <c r="D18" s="583"/>
      <c r="E18" s="583">
        <f>SUM(C18:D18)</f>
        <v>11994</v>
      </c>
    </row>
    <row r="19" spans="1:5" x14ac:dyDescent="0.25">
      <c r="A19" s="581"/>
      <c r="B19" s="580" t="s">
        <v>686</v>
      </c>
      <c r="C19" s="584">
        <v>11994</v>
      </c>
      <c r="D19" s="584">
        <f t="shared" ref="D19:E19" si="4">SUM(D18)</f>
        <v>0</v>
      </c>
      <c r="E19" s="584">
        <f t="shared" si="4"/>
        <v>11994</v>
      </c>
    </row>
    <row r="20" spans="1:5" x14ac:dyDescent="0.25">
      <c r="A20" s="581"/>
      <c r="B20" s="580"/>
      <c r="C20" s="584"/>
      <c r="D20" s="584"/>
      <c r="E20" s="584"/>
    </row>
    <row r="21" spans="1:5" x14ac:dyDescent="0.25">
      <c r="A21" s="580" t="s">
        <v>691</v>
      </c>
      <c r="B21" s="581" t="s">
        <v>692</v>
      </c>
      <c r="C21" s="582">
        <v>18000</v>
      </c>
      <c r="D21" s="583"/>
      <c r="E21" s="583">
        <f>SUM(C21:D21)</f>
        <v>18000</v>
      </c>
    </row>
    <row r="22" spans="1:5" x14ac:dyDescent="0.25">
      <c r="A22" s="581"/>
      <c r="B22" s="580" t="s">
        <v>686</v>
      </c>
      <c r="C22" s="584">
        <v>18000</v>
      </c>
      <c r="D22" s="584">
        <f t="shared" ref="D22:E22" si="5">SUM(D21)</f>
        <v>0</v>
      </c>
      <c r="E22" s="584">
        <f t="shared" si="5"/>
        <v>18000</v>
      </c>
    </row>
    <row r="23" spans="1:5" x14ac:dyDescent="0.25">
      <c r="A23" s="581"/>
      <c r="B23" s="580"/>
      <c r="C23" s="584"/>
      <c r="D23" s="584"/>
      <c r="E23" s="584"/>
    </row>
    <row r="24" spans="1:5" ht="47.25" x14ac:dyDescent="0.25">
      <c r="A24" s="580" t="s">
        <v>693</v>
      </c>
      <c r="B24" s="581" t="s">
        <v>694</v>
      </c>
      <c r="C24" s="582">
        <v>40000</v>
      </c>
      <c r="D24" s="583"/>
      <c r="E24" s="583">
        <f>SUM(C24:D24)</f>
        <v>40000</v>
      </c>
    </row>
    <row r="25" spans="1:5" x14ac:dyDescent="0.25">
      <c r="A25" s="580"/>
      <c r="B25" s="580" t="s">
        <v>686</v>
      </c>
      <c r="C25" s="584">
        <v>40000</v>
      </c>
      <c r="D25" s="584">
        <f t="shared" ref="D25:E25" si="6">SUM(D24)</f>
        <v>0</v>
      </c>
      <c r="E25" s="584">
        <f t="shared" si="6"/>
        <v>40000</v>
      </c>
    </row>
    <row r="26" spans="1:5" x14ac:dyDescent="0.25">
      <c r="A26" s="581"/>
      <c r="B26" s="581"/>
      <c r="C26" s="582"/>
      <c r="D26" s="583"/>
      <c r="E26" s="583"/>
    </row>
    <row r="27" spans="1:5" ht="31.5" x14ac:dyDescent="0.25">
      <c r="A27" s="580" t="s">
        <v>770</v>
      </c>
      <c r="B27" s="581" t="s">
        <v>878</v>
      </c>
      <c r="C27" s="582">
        <v>46000</v>
      </c>
      <c r="D27" s="583"/>
      <c r="E27" s="583">
        <f>SUM(C27:D27)</f>
        <v>46000</v>
      </c>
    </row>
    <row r="28" spans="1:5" x14ac:dyDescent="0.25">
      <c r="A28" s="580"/>
      <c r="B28" s="580" t="s">
        <v>686</v>
      </c>
      <c r="C28" s="584">
        <f>SUM(C27)</f>
        <v>46000</v>
      </c>
      <c r="D28" s="584">
        <f t="shared" ref="D28:E28" si="7">SUM(D27)</f>
        <v>0</v>
      </c>
      <c r="E28" s="584">
        <f t="shared" si="7"/>
        <v>46000</v>
      </c>
    </row>
    <row r="29" spans="1:5" x14ac:dyDescent="0.25">
      <c r="A29" s="581"/>
      <c r="B29" s="581"/>
      <c r="C29" s="582"/>
      <c r="D29" s="583"/>
      <c r="E29" s="583"/>
    </row>
    <row r="30" spans="1:5" ht="47.25" x14ac:dyDescent="0.25">
      <c r="A30" s="580" t="s">
        <v>695</v>
      </c>
      <c r="B30" s="581" t="s">
        <v>696</v>
      </c>
      <c r="C30" s="582">
        <v>58673</v>
      </c>
      <c r="D30" s="583"/>
      <c r="E30" s="583">
        <f>SUM(C30:D30)</f>
        <v>58673</v>
      </c>
    </row>
    <row r="31" spans="1:5" x14ac:dyDescent="0.25">
      <c r="A31" s="581"/>
      <c r="B31" s="580" t="s">
        <v>686</v>
      </c>
      <c r="C31" s="584">
        <v>58673</v>
      </c>
      <c r="D31" s="584">
        <f t="shared" ref="D31:E31" si="8">SUM(D30)</f>
        <v>0</v>
      </c>
      <c r="E31" s="584">
        <f t="shared" si="8"/>
        <v>58673</v>
      </c>
    </row>
    <row r="32" spans="1:5" x14ac:dyDescent="0.25">
      <c r="A32" s="581"/>
      <c r="B32" s="580"/>
      <c r="C32" s="584"/>
      <c r="D32" s="584"/>
      <c r="E32" s="584"/>
    </row>
    <row r="33" spans="1:5" ht="31.5" x14ac:dyDescent="0.25">
      <c r="A33" s="580" t="s">
        <v>697</v>
      </c>
      <c r="B33" s="581" t="s">
        <v>696</v>
      </c>
      <c r="C33" s="582">
        <v>7444</v>
      </c>
      <c r="D33" s="583"/>
      <c r="E33" s="583">
        <f>SUM(C33:D33)</f>
        <v>7444</v>
      </c>
    </row>
    <row r="34" spans="1:5" x14ac:dyDescent="0.25">
      <c r="A34" s="581"/>
      <c r="B34" s="580" t="s">
        <v>686</v>
      </c>
      <c r="C34" s="584">
        <v>7444</v>
      </c>
      <c r="D34" s="584">
        <f t="shared" ref="D34:E34" si="9">SUM(D33)</f>
        <v>0</v>
      </c>
      <c r="E34" s="584">
        <f t="shared" si="9"/>
        <v>7444</v>
      </c>
    </row>
    <row r="35" spans="1:5" x14ac:dyDescent="0.25">
      <c r="A35" s="581"/>
      <c r="B35" s="580"/>
      <c r="C35" s="584"/>
      <c r="D35" s="584"/>
      <c r="E35" s="584"/>
    </row>
    <row r="36" spans="1:5" ht="31.5" x14ac:dyDescent="0.25">
      <c r="A36" s="580" t="s">
        <v>698</v>
      </c>
      <c r="B36" s="581" t="s">
        <v>699</v>
      </c>
      <c r="C36" s="582">
        <v>4000</v>
      </c>
      <c r="D36" s="583"/>
      <c r="E36" s="583">
        <f>SUM(C36:D36)</f>
        <v>4000</v>
      </c>
    </row>
    <row r="37" spans="1:5" x14ac:dyDescent="0.25">
      <c r="A37" s="580"/>
      <c r="B37" s="581" t="s">
        <v>700</v>
      </c>
      <c r="C37" s="582">
        <v>18987</v>
      </c>
      <c r="D37" s="583"/>
      <c r="E37" s="583">
        <f>SUM(C37:D37)</f>
        <v>18987</v>
      </c>
    </row>
    <row r="38" spans="1:5" x14ac:dyDescent="0.25">
      <c r="A38" s="581"/>
      <c r="B38" s="580" t="s">
        <v>686</v>
      </c>
      <c r="C38" s="584">
        <v>22987</v>
      </c>
      <c r="D38" s="584">
        <f t="shared" ref="D38:E38" si="10">SUM(D36:D37)</f>
        <v>0</v>
      </c>
      <c r="E38" s="584">
        <f t="shared" si="10"/>
        <v>22987</v>
      </c>
    </row>
    <row r="39" spans="1:5" x14ac:dyDescent="0.25">
      <c r="A39" s="581"/>
      <c r="B39" s="580"/>
      <c r="C39" s="584"/>
      <c r="D39" s="584"/>
      <c r="E39" s="584"/>
    </row>
    <row r="40" spans="1:5" x14ac:dyDescent="0.25">
      <c r="A40" s="580" t="s">
        <v>701</v>
      </c>
      <c r="B40" s="581" t="s">
        <v>702</v>
      </c>
      <c r="C40" s="582">
        <v>15000</v>
      </c>
      <c r="D40" s="583"/>
      <c r="E40" s="583">
        <f>SUM(C40:D40)</f>
        <v>15000</v>
      </c>
    </row>
    <row r="41" spans="1:5" x14ac:dyDescent="0.25">
      <c r="A41" s="581"/>
      <c r="B41" s="580" t="s">
        <v>686</v>
      </c>
      <c r="C41" s="584">
        <v>15000</v>
      </c>
      <c r="D41" s="584">
        <f t="shared" ref="D41:E41" si="11">SUM(D40)</f>
        <v>0</v>
      </c>
      <c r="E41" s="584">
        <f t="shared" si="11"/>
        <v>15000</v>
      </c>
    </row>
    <row r="42" spans="1:5" x14ac:dyDescent="0.25">
      <c r="A42" s="581"/>
      <c r="B42" s="581"/>
      <c r="C42" s="582"/>
      <c r="D42" s="583"/>
      <c r="E42" s="583"/>
    </row>
    <row r="43" spans="1:5" x14ac:dyDescent="0.25">
      <c r="A43" s="580" t="s">
        <v>703</v>
      </c>
      <c r="B43" s="581" t="s">
        <v>702</v>
      </c>
      <c r="C43" s="582">
        <v>15000</v>
      </c>
      <c r="D43" s="583"/>
      <c r="E43" s="583">
        <f>SUM(C43:D43)</f>
        <v>15000</v>
      </c>
    </row>
    <row r="44" spans="1:5" x14ac:dyDescent="0.25">
      <c r="A44" s="580"/>
      <c r="B44" s="580" t="s">
        <v>686</v>
      </c>
      <c r="C44" s="584">
        <v>15000</v>
      </c>
      <c r="D44" s="584">
        <f t="shared" ref="D44:E44" si="12">SUM(D43)</f>
        <v>0</v>
      </c>
      <c r="E44" s="584">
        <f t="shared" si="12"/>
        <v>15000</v>
      </c>
    </row>
    <row r="45" spans="1:5" x14ac:dyDescent="0.25">
      <c r="A45" s="580"/>
      <c r="B45" s="581"/>
      <c r="C45" s="582"/>
      <c r="D45" s="583"/>
      <c r="E45" s="583"/>
    </row>
    <row r="46" spans="1:5" ht="47.25" x14ac:dyDescent="0.25">
      <c r="A46" s="580" t="s">
        <v>704</v>
      </c>
      <c r="B46" s="581" t="s">
        <v>705</v>
      </c>
      <c r="C46" s="582">
        <v>15000</v>
      </c>
      <c r="D46" s="583"/>
      <c r="E46" s="583">
        <f>SUM(C46:D46)</f>
        <v>15000</v>
      </c>
    </row>
    <row r="47" spans="1:5" x14ac:dyDescent="0.25">
      <c r="A47" s="581"/>
      <c r="B47" s="580" t="s">
        <v>686</v>
      </c>
      <c r="C47" s="584">
        <v>15000</v>
      </c>
      <c r="D47" s="584">
        <f t="shared" ref="D47:E47" si="13">SUM(D46)</f>
        <v>0</v>
      </c>
      <c r="E47" s="584">
        <f t="shared" si="13"/>
        <v>15000</v>
      </c>
    </row>
    <row r="48" spans="1:5" x14ac:dyDescent="0.25">
      <c r="A48" s="581"/>
      <c r="B48" s="581"/>
      <c r="C48" s="582"/>
      <c r="D48" s="583"/>
      <c r="E48" s="583"/>
    </row>
    <row r="49" spans="1:5" ht="78.75" x14ac:dyDescent="0.25">
      <c r="A49" s="580" t="s">
        <v>706</v>
      </c>
      <c r="B49" s="581" t="s">
        <v>707</v>
      </c>
      <c r="C49" s="582">
        <v>10000</v>
      </c>
      <c r="D49" s="583"/>
      <c r="E49" s="583">
        <f>SUM(C49:D49)</f>
        <v>10000</v>
      </c>
    </row>
    <row r="50" spans="1:5" x14ac:dyDescent="0.25">
      <c r="A50" s="581"/>
      <c r="B50" s="580" t="s">
        <v>686</v>
      </c>
      <c r="C50" s="584">
        <v>10000</v>
      </c>
      <c r="D50" s="584">
        <f t="shared" ref="D50:E50" si="14">SUM(D49)</f>
        <v>0</v>
      </c>
      <c r="E50" s="584">
        <f t="shared" si="14"/>
        <v>10000</v>
      </c>
    </row>
    <row r="51" spans="1:5" x14ac:dyDescent="0.25">
      <c r="A51" s="581"/>
      <c r="B51" s="581"/>
      <c r="C51" s="582"/>
      <c r="D51" s="583"/>
      <c r="E51" s="583"/>
    </row>
    <row r="52" spans="1:5" ht="31.5" x14ac:dyDescent="0.25">
      <c r="A52" s="580" t="s">
        <v>708</v>
      </c>
      <c r="B52" s="581" t="s">
        <v>696</v>
      </c>
      <c r="C52" s="582">
        <v>32595</v>
      </c>
      <c r="D52" s="583"/>
      <c r="E52" s="583">
        <f>SUM(C52:D52)</f>
        <v>32595</v>
      </c>
    </row>
    <row r="53" spans="1:5" x14ac:dyDescent="0.25">
      <c r="A53" s="581"/>
      <c r="B53" s="580" t="s">
        <v>686</v>
      </c>
      <c r="C53" s="584">
        <v>32595</v>
      </c>
      <c r="D53" s="584">
        <f t="shared" ref="D53:E53" si="15">SUM(D52)</f>
        <v>0</v>
      </c>
      <c r="E53" s="584">
        <f t="shared" si="15"/>
        <v>32595</v>
      </c>
    </row>
    <row r="54" spans="1:5" x14ac:dyDescent="0.25">
      <c r="A54" s="581"/>
      <c r="B54" s="581"/>
      <c r="C54" s="582"/>
      <c r="D54" s="583"/>
      <c r="E54" s="583"/>
    </row>
    <row r="55" spans="1:5" ht="31.5" x14ac:dyDescent="0.25">
      <c r="A55" s="580" t="s">
        <v>709</v>
      </c>
      <c r="B55" s="581" t="s">
        <v>705</v>
      </c>
      <c r="C55" s="582">
        <v>23041</v>
      </c>
      <c r="D55" s="583"/>
      <c r="E55" s="583">
        <f>SUM(C55:D55)</f>
        <v>23041</v>
      </c>
    </row>
    <row r="56" spans="1:5" x14ac:dyDescent="0.25">
      <c r="A56" s="580"/>
      <c r="B56" s="581" t="s">
        <v>989</v>
      </c>
      <c r="C56" s="582">
        <v>0</v>
      </c>
      <c r="D56" s="583">
        <v>6500</v>
      </c>
      <c r="E56" s="583">
        <f>SUM(C56:D56)</f>
        <v>6500</v>
      </c>
    </row>
    <row r="57" spans="1:5" x14ac:dyDescent="0.25">
      <c r="A57" s="581"/>
      <c r="B57" s="580" t="s">
        <v>686</v>
      </c>
      <c r="C57" s="584">
        <f>SUM(C55:C56)</f>
        <v>23041</v>
      </c>
      <c r="D57" s="584">
        <f>SUM(D55:D56)</f>
        <v>6500</v>
      </c>
      <c r="E57" s="584">
        <f>SUM(E55:E56)</f>
        <v>29541</v>
      </c>
    </row>
    <row r="58" spans="1:5" x14ac:dyDescent="0.25">
      <c r="A58" s="581"/>
      <c r="B58" s="581"/>
      <c r="C58" s="582"/>
      <c r="D58" s="583"/>
      <c r="E58" s="583"/>
    </row>
    <row r="59" spans="1:5" x14ac:dyDescent="0.25">
      <c r="A59" s="580" t="s">
        <v>710</v>
      </c>
      <c r="B59" s="581" t="s">
        <v>705</v>
      </c>
      <c r="C59" s="582">
        <v>30000</v>
      </c>
      <c r="D59" s="583"/>
      <c r="E59" s="583">
        <f>SUM(C59:D59)</f>
        <v>30000</v>
      </c>
    </row>
    <row r="60" spans="1:5" x14ac:dyDescent="0.25">
      <c r="A60" s="580"/>
      <c r="B60" s="580" t="s">
        <v>686</v>
      </c>
      <c r="C60" s="584">
        <v>30000</v>
      </c>
      <c r="D60" s="584">
        <f t="shared" ref="D60:E60" si="16">SUM(D59)</f>
        <v>0</v>
      </c>
      <c r="E60" s="584">
        <f t="shared" si="16"/>
        <v>30000</v>
      </c>
    </row>
    <row r="61" spans="1:5" x14ac:dyDescent="0.25">
      <c r="A61" s="580"/>
      <c r="B61" s="581"/>
      <c r="C61" s="582"/>
      <c r="D61" s="583"/>
      <c r="E61" s="583"/>
    </row>
    <row r="62" spans="1:5" ht="31.5" x14ac:dyDescent="0.25">
      <c r="A62" s="580" t="s">
        <v>711</v>
      </c>
      <c r="B62" s="581" t="s">
        <v>705</v>
      </c>
      <c r="C62" s="582">
        <v>3202</v>
      </c>
      <c r="D62" s="583"/>
      <c r="E62" s="583">
        <f>SUM(C62:D62)</f>
        <v>3202</v>
      </c>
    </row>
    <row r="63" spans="1:5" x14ac:dyDescent="0.25">
      <c r="A63" s="580"/>
      <c r="B63" s="580" t="s">
        <v>686</v>
      </c>
      <c r="C63" s="584">
        <v>3202</v>
      </c>
      <c r="D63" s="584">
        <f t="shared" ref="D63:E63" si="17">SUM(D62)</f>
        <v>0</v>
      </c>
      <c r="E63" s="584">
        <f t="shared" si="17"/>
        <v>3202</v>
      </c>
    </row>
    <row r="64" spans="1:5" x14ac:dyDescent="0.25">
      <c r="A64" s="580"/>
      <c r="B64" s="581"/>
      <c r="C64" s="582"/>
      <c r="D64" s="583"/>
      <c r="E64" s="583"/>
    </row>
    <row r="65" spans="1:5" ht="63" x14ac:dyDescent="0.25">
      <c r="A65" s="580" t="s">
        <v>712</v>
      </c>
      <c r="B65" s="581" t="s">
        <v>705</v>
      </c>
      <c r="C65" s="582">
        <v>50000</v>
      </c>
      <c r="D65" s="583"/>
      <c r="E65" s="583">
        <f>SUM(C65:D65)</f>
        <v>50000</v>
      </c>
    </row>
    <row r="66" spans="1:5" x14ac:dyDescent="0.25">
      <c r="A66" s="581"/>
      <c r="B66" s="580" t="s">
        <v>686</v>
      </c>
      <c r="C66" s="584">
        <v>50000</v>
      </c>
      <c r="D66" s="584">
        <f t="shared" ref="D66:E66" si="18">SUM(D65)</f>
        <v>0</v>
      </c>
      <c r="E66" s="584">
        <f t="shared" si="18"/>
        <v>50000</v>
      </c>
    </row>
    <row r="67" spans="1:5" x14ac:dyDescent="0.25">
      <c r="A67" s="581"/>
      <c r="B67" s="581"/>
      <c r="C67" s="582"/>
      <c r="D67" s="583"/>
      <c r="E67" s="583"/>
    </row>
    <row r="68" spans="1:5" ht="31.5" x14ac:dyDescent="0.25">
      <c r="A68" s="580" t="s">
        <v>713</v>
      </c>
      <c r="B68" s="581" t="s">
        <v>705</v>
      </c>
      <c r="C68" s="582">
        <v>16358</v>
      </c>
      <c r="D68" s="583"/>
      <c r="E68" s="583">
        <f>SUM(C68:D68)</f>
        <v>16358</v>
      </c>
    </row>
    <row r="69" spans="1:5" x14ac:dyDescent="0.25">
      <c r="A69" s="581"/>
      <c r="B69" s="580" t="s">
        <v>686</v>
      </c>
      <c r="C69" s="584">
        <v>16358</v>
      </c>
      <c r="D69" s="584">
        <f t="shared" ref="D69:E69" si="19">SUM(D68)</f>
        <v>0</v>
      </c>
      <c r="E69" s="584">
        <f t="shared" si="19"/>
        <v>16358</v>
      </c>
    </row>
    <row r="70" spans="1:5" x14ac:dyDescent="0.25">
      <c r="A70" s="581"/>
      <c r="B70" s="581"/>
      <c r="C70" s="582"/>
      <c r="D70" s="583"/>
      <c r="E70" s="583"/>
    </row>
    <row r="71" spans="1:5" ht="63" x14ac:dyDescent="0.25">
      <c r="A71" s="580" t="s">
        <v>992</v>
      </c>
      <c r="B71" s="581" t="s">
        <v>993</v>
      </c>
      <c r="C71" s="582">
        <v>0</v>
      </c>
      <c r="D71" s="583">
        <v>1100</v>
      </c>
      <c r="E71" s="583">
        <f>SUM(C71:D71)</f>
        <v>1100</v>
      </c>
    </row>
    <row r="72" spans="1:5" x14ac:dyDescent="0.25">
      <c r="A72" s="581"/>
      <c r="B72" s="580" t="s">
        <v>686</v>
      </c>
      <c r="C72" s="584">
        <f>SUM(C71)</f>
        <v>0</v>
      </c>
      <c r="D72" s="584">
        <f t="shared" ref="D72:E72" si="20">SUM(D71)</f>
        <v>1100</v>
      </c>
      <c r="E72" s="584">
        <f t="shared" si="20"/>
        <v>1100</v>
      </c>
    </row>
    <row r="73" spans="1:5" x14ac:dyDescent="0.25">
      <c r="A73" s="581"/>
      <c r="B73" s="581"/>
      <c r="C73" s="582"/>
      <c r="D73" s="583"/>
      <c r="E73" s="583"/>
    </row>
    <row r="74" spans="1:5" ht="63" x14ac:dyDescent="0.25">
      <c r="A74" s="580" t="s">
        <v>996</v>
      </c>
      <c r="B74" s="581" t="s">
        <v>997</v>
      </c>
      <c r="C74" s="582">
        <v>0</v>
      </c>
      <c r="D74" s="583">
        <v>3200</v>
      </c>
      <c r="E74" s="583">
        <f>SUM(C74:D74)</f>
        <v>3200</v>
      </c>
    </row>
    <row r="75" spans="1:5" x14ac:dyDescent="0.25">
      <c r="A75" s="581"/>
      <c r="B75" s="580" t="s">
        <v>686</v>
      </c>
      <c r="C75" s="584">
        <f>SUM(C74)</f>
        <v>0</v>
      </c>
      <c r="D75" s="584">
        <f t="shared" ref="D75:E75" si="21">SUM(D74)</f>
        <v>3200</v>
      </c>
      <c r="E75" s="584">
        <f t="shared" si="21"/>
        <v>3200</v>
      </c>
    </row>
    <row r="76" spans="1:5" x14ac:dyDescent="0.25">
      <c r="A76" s="581"/>
      <c r="B76" s="581"/>
      <c r="C76" s="582"/>
      <c r="D76" s="583"/>
      <c r="E76" s="583"/>
    </row>
    <row r="77" spans="1:5" x14ac:dyDescent="0.25">
      <c r="A77" s="580" t="s">
        <v>961</v>
      </c>
      <c r="B77" s="581" t="s">
        <v>962</v>
      </c>
      <c r="C77" s="582">
        <v>0</v>
      </c>
      <c r="D77" s="583">
        <v>5871</v>
      </c>
      <c r="E77" s="583">
        <f>SUM(C77:D77)</f>
        <v>5871</v>
      </c>
    </row>
    <row r="78" spans="1:5" x14ac:dyDescent="0.25">
      <c r="A78" s="581"/>
      <c r="B78" s="580" t="s">
        <v>686</v>
      </c>
      <c r="C78" s="584">
        <f>SUM(C77)</f>
        <v>0</v>
      </c>
      <c r="D78" s="584">
        <f t="shared" ref="D78:E78" si="22">SUM(D77)</f>
        <v>5871</v>
      </c>
      <c r="E78" s="584">
        <f t="shared" si="22"/>
        <v>5871</v>
      </c>
    </row>
    <row r="79" spans="1:5" x14ac:dyDescent="0.25">
      <c r="A79" s="581"/>
      <c r="B79" s="581"/>
      <c r="C79" s="582"/>
      <c r="D79" s="583"/>
      <c r="E79" s="583"/>
    </row>
    <row r="80" spans="1:5" ht="63" x14ac:dyDescent="0.25">
      <c r="A80" s="580" t="s">
        <v>714</v>
      </c>
      <c r="B80" s="581" t="s">
        <v>692</v>
      </c>
      <c r="C80" s="582">
        <v>3171</v>
      </c>
      <c r="D80" s="583"/>
      <c r="E80" s="583">
        <f>SUM(C80:D80)</f>
        <v>3171</v>
      </c>
    </row>
    <row r="81" spans="1:5" x14ac:dyDescent="0.25">
      <c r="A81" s="580"/>
      <c r="B81" s="581" t="s">
        <v>715</v>
      </c>
      <c r="C81" s="582">
        <v>20000</v>
      </c>
      <c r="D81" s="583"/>
      <c r="E81" s="583">
        <f>SUM(C81:D81)</f>
        <v>20000</v>
      </c>
    </row>
    <row r="82" spans="1:5" x14ac:dyDescent="0.25">
      <c r="A82" s="581"/>
      <c r="B82" s="580" t="s">
        <v>686</v>
      </c>
      <c r="C82" s="584">
        <v>23171</v>
      </c>
      <c r="D82" s="584">
        <f t="shared" ref="D82:E82" si="23">SUM(D80:D81)</f>
        <v>0</v>
      </c>
      <c r="E82" s="584">
        <f t="shared" si="23"/>
        <v>23171</v>
      </c>
    </row>
    <row r="83" spans="1:5" x14ac:dyDescent="0.25">
      <c r="A83" s="581"/>
      <c r="B83" s="581"/>
      <c r="C83" s="582"/>
      <c r="D83" s="583"/>
      <c r="E83" s="583"/>
    </row>
    <row r="84" spans="1:5" ht="47.25" x14ac:dyDescent="0.25">
      <c r="A84" s="580" t="s">
        <v>716</v>
      </c>
      <c r="B84" s="581" t="s">
        <v>717</v>
      </c>
      <c r="C84" s="582">
        <v>220000</v>
      </c>
      <c r="D84" s="583"/>
      <c r="E84" s="583">
        <f>SUM(C84:D84)</f>
        <v>220000</v>
      </c>
    </row>
    <row r="85" spans="1:5" x14ac:dyDescent="0.25">
      <c r="A85" s="581"/>
      <c r="B85" s="580" t="s">
        <v>686</v>
      </c>
      <c r="C85" s="584">
        <v>220000</v>
      </c>
      <c r="D85" s="584">
        <f t="shared" ref="D85:E85" si="24">SUM(D84)</f>
        <v>0</v>
      </c>
      <c r="E85" s="584">
        <f t="shared" si="24"/>
        <v>220000</v>
      </c>
    </row>
    <row r="86" spans="1:5" x14ac:dyDescent="0.25">
      <c r="A86" s="581"/>
      <c r="B86" s="581"/>
      <c r="C86" s="582"/>
      <c r="D86" s="583"/>
      <c r="E86" s="583"/>
    </row>
    <row r="87" spans="1:5" ht="47.25" x14ac:dyDescent="0.25">
      <c r="A87" s="580" t="s">
        <v>718</v>
      </c>
      <c r="B87" s="581"/>
      <c r="C87" s="584">
        <v>5580</v>
      </c>
      <c r="D87" s="585"/>
      <c r="E87" s="585">
        <f>SUM(C87:D87)</f>
        <v>5580</v>
      </c>
    </row>
    <row r="88" spans="1:5" x14ac:dyDescent="0.25">
      <c r="A88" s="581"/>
      <c r="B88" s="581"/>
      <c r="C88" s="582"/>
      <c r="D88" s="583"/>
      <c r="E88" s="583"/>
    </row>
    <row r="89" spans="1:5" x14ac:dyDescent="0.25">
      <c r="A89" s="580" t="s">
        <v>719</v>
      </c>
      <c r="B89" s="581" t="s">
        <v>720</v>
      </c>
      <c r="C89" s="582">
        <v>110000</v>
      </c>
      <c r="D89" s="583"/>
      <c r="E89" s="583">
        <f>SUM(C89:D89)</f>
        <v>110000</v>
      </c>
    </row>
    <row r="90" spans="1:5" x14ac:dyDescent="0.25">
      <c r="A90" s="581"/>
      <c r="B90" s="580" t="s">
        <v>686</v>
      </c>
      <c r="C90" s="584">
        <v>110000</v>
      </c>
      <c r="D90" s="584">
        <f t="shared" ref="D90:E90" si="25">SUM(D89)</f>
        <v>0</v>
      </c>
      <c r="E90" s="584">
        <f t="shared" si="25"/>
        <v>110000</v>
      </c>
    </row>
    <row r="91" spans="1:5" x14ac:dyDescent="0.25">
      <c r="A91" s="581"/>
      <c r="B91" s="580"/>
      <c r="C91" s="584"/>
      <c r="D91" s="584"/>
      <c r="E91" s="584"/>
    </row>
    <row r="92" spans="1:5" x14ac:dyDescent="0.25">
      <c r="A92" s="580" t="s">
        <v>721</v>
      </c>
      <c r="B92" s="581"/>
      <c r="C92" s="584">
        <v>21997</v>
      </c>
      <c r="D92" s="585"/>
      <c r="E92" s="585">
        <f>SUM(C92:D92)</f>
        <v>21997</v>
      </c>
    </row>
    <row r="93" spans="1:5" x14ac:dyDescent="0.25">
      <c r="A93" s="580"/>
      <c r="B93" s="581"/>
      <c r="C93" s="582"/>
      <c r="D93" s="585"/>
      <c r="E93" s="585"/>
    </row>
    <row r="94" spans="1:5" x14ac:dyDescent="0.25">
      <c r="A94" s="580" t="s">
        <v>722</v>
      </c>
      <c r="B94" s="581"/>
      <c r="C94" s="584">
        <v>100563</v>
      </c>
      <c r="D94" s="586"/>
      <c r="E94" s="586">
        <f>SUM(C94:D94)</f>
        <v>100563</v>
      </c>
    </row>
    <row r="95" spans="1:5" x14ac:dyDescent="0.25">
      <c r="A95" s="587"/>
      <c r="B95" s="587"/>
      <c r="C95" s="588"/>
      <c r="D95" s="589"/>
      <c r="E95" s="589"/>
    </row>
    <row r="96" spans="1:5" ht="47.25" customHeight="1" x14ac:dyDescent="0.25">
      <c r="A96" s="983" t="s">
        <v>723</v>
      </c>
      <c r="B96" s="984"/>
      <c r="C96" s="584"/>
      <c r="D96" s="583"/>
      <c r="E96" s="583"/>
    </row>
    <row r="97" spans="1:5" ht="63" x14ac:dyDescent="0.25">
      <c r="A97" s="580" t="s">
        <v>691</v>
      </c>
      <c r="B97" s="581" t="s">
        <v>724</v>
      </c>
      <c r="C97" s="582">
        <v>199000</v>
      </c>
      <c r="D97" s="583">
        <v>-31706</v>
      </c>
      <c r="E97" s="583">
        <f>SUM(C97:D97)</f>
        <v>167294</v>
      </c>
    </row>
    <row r="98" spans="1:5" x14ac:dyDescent="0.25">
      <c r="A98" s="581"/>
      <c r="B98" s="580" t="s">
        <v>686</v>
      </c>
      <c r="C98" s="584">
        <v>199000</v>
      </c>
      <c r="D98" s="584">
        <f t="shared" ref="D98:E98" si="26">SUM(D97)</f>
        <v>-31706</v>
      </c>
      <c r="E98" s="584">
        <f t="shared" si="26"/>
        <v>167294</v>
      </c>
    </row>
    <row r="99" spans="1:5" x14ac:dyDescent="0.25">
      <c r="A99" s="581"/>
      <c r="B99" s="581"/>
      <c r="C99" s="582"/>
      <c r="D99" s="583"/>
      <c r="E99" s="583"/>
    </row>
    <row r="100" spans="1:5" ht="63" x14ac:dyDescent="0.25">
      <c r="A100" s="580" t="s">
        <v>725</v>
      </c>
      <c r="B100" s="581" t="s">
        <v>724</v>
      </c>
      <c r="C100" s="582">
        <v>205000</v>
      </c>
      <c r="D100" s="583">
        <v>-63398</v>
      </c>
      <c r="E100" s="583">
        <f>SUM(C100:D100)</f>
        <v>141602</v>
      </c>
    </row>
    <row r="101" spans="1:5" x14ac:dyDescent="0.25">
      <c r="A101" s="580"/>
      <c r="B101" s="580" t="s">
        <v>686</v>
      </c>
      <c r="C101" s="584">
        <v>205000</v>
      </c>
      <c r="D101" s="584">
        <f t="shared" ref="D101:E101" si="27">SUM(D100)</f>
        <v>-63398</v>
      </c>
      <c r="E101" s="584">
        <f t="shared" si="27"/>
        <v>141602</v>
      </c>
    </row>
    <row r="102" spans="1:5" x14ac:dyDescent="0.25">
      <c r="A102" s="580"/>
      <c r="B102" s="581"/>
      <c r="C102" s="582"/>
      <c r="D102" s="583"/>
      <c r="E102" s="583"/>
    </row>
    <row r="103" spans="1:5" ht="63" x14ac:dyDescent="0.25">
      <c r="A103" s="580" t="s">
        <v>726</v>
      </c>
      <c r="B103" s="581" t="s">
        <v>724</v>
      </c>
      <c r="C103" s="582">
        <v>141000</v>
      </c>
      <c r="D103" s="583">
        <v>209000</v>
      </c>
      <c r="E103" s="583">
        <f>SUM(C103:D103)</f>
        <v>350000</v>
      </c>
    </row>
    <row r="104" spans="1:5" x14ac:dyDescent="0.25">
      <c r="A104" s="581"/>
      <c r="B104" s="580" t="s">
        <v>686</v>
      </c>
      <c r="C104" s="584">
        <v>141000</v>
      </c>
      <c r="D104" s="584">
        <f t="shared" ref="D104:E104" si="28">SUM(D103)</f>
        <v>209000</v>
      </c>
      <c r="E104" s="584">
        <f t="shared" si="28"/>
        <v>350000</v>
      </c>
    </row>
    <row r="105" spans="1:5" x14ac:dyDescent="0.25">
      <c r="A105" s="590"/>
      <c r="B105" s="591"/>
      <c r="C105" s="592"/>
      <c r="D105" s="592"/>
      <c r="E105" s="592"/>
    </row>
    <row r="106" spans="1:5" ht="16.5" thickBot="1" x14ac:dyDescent="0.3">
      <c r="A106" s="593" t="s">
        <v>727</v>
      </c>
      <c r="B106" s="593"/>
      <c r="C106" s="592">
        <v>545000</v>
      </c>
      <c r="D106" s="592">
        <f t="shared" ref="D106:E106" si="29">SUM(D104+D101+D98)</f>
        <v>113896</v>
      </c>
      <c r="E106" s="592">
        <f t="shared" si="29"/>
        <v>658896</v>
      </c>
    </row>
    <row r="107" spans="1:5" ht="16.5" thickBot="1" x14ac:dyDescent="0.3">
      <c r="A107" s="985" t="s">
        <v>728</v>
      </c>
      <c r="B107" s="985"/>
      <c r="C107" s="594">
        <f>SUM(C106+C94+C92+C12+C90+C25+C87+C85+C82+C78+C75+C72+C69+C66+C63+C60+C57+C53+C50+C47+C44+C41+C38+C34+C31+C28+C22+C19+C16+C10)</f>
        <v>1512424</v>
      </c>
      <c r="D107" s="594">
        <f t="shared" ref="D107:E107" si="30">SUM(D106+D94+D92+D12+D90+D25+D87+D85+D82+D78+D75+D72+D69+D66+D63+D60+D57+D53+D50+D47+D44+D41+D38+D34+D31+D28+D22+D19+D16+D10)</f>
        <v>130567</v>
      </c>
      <c r="E107" s="594">
        <f t="shared" si="30"/>
        <v>1642991</v>
      </c>
    </row>
  </sheetData>
  <mergeCells count="4">
    <mergeCell ref="A1:E1"/>
    <mergeCell ref="A5:E5"/>
    <mergeCell ref="A96:B96"/>
    <mergeCell ref="A107:B107"/>
  </mergeCells>
  <pageMargins left="0.51181102362204722" right="0.51181102362204722" top="0.74803149606299213" bottom="0.74803149606299213" header="0.51181102362204722" footer="0.31496062992125984"/>
  <pageSetup paperSize="9" scale="77" orientation="portrait" r:id="rId1"/>
  <headerFooter>
    <oddHeader>&amp;R&amp;"Times New Roman CE,Félkövér"&amp;11 13. melléklet a 28/2016.(VI.24.) önkormányzati rendelethez&amp;"Times New Roman CE,Dőlt"&amp;10
15. melléklet
a 3/2016.(II.12.) önkormányzati rendelethez</oddHeader>
    <oddFooter>&amp;C&amp;P.oldal</oddFooter>
  </headerFooter>
  <rowBreaks count="1" manualBreakCount="1">
    <brk id="45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4" zoomScale="110" zoomScaleNormal="110" workbookViewId="0">
      <selection activeCell="G23" sqref="G23"/>
    </sheetView>
  </sheetViews>
  <sheetFormatPr defaultRowHeight="15.75" x14ac:dyDescent="0.25"/>
  <cols>
    <col min="1" max="1" width="45.625" style="186" customWidth="1"/>
    <col min="2" max="2" width="16" style="187" customWidth="1"/>
    <col min="3" max="3" width="7.5" style="166" customWidth="1"/>
    <col min="4" max="4" width="43.75" style="166" customWidth="1"/>
    <col min="5" max="5" width="16" style="166" customWidth="1"/>
    <col min="6" max="6" width="24.625" style="166" customWidth="1"/>
    <col min="7" max="16384" width="9" style="166"/>
  </cols>
  <sheetData>
    <row r="1" spans="1:6" ht="31.5" customHeight="1" x14ac:dyDescent="0.25">
      <c r="A1" s="986" t="s">
        <v>652</v>
      </c>
      <c r="B1" s="986"/>
      <c r="C1" s="986"/>
      <c r="D1" s="986"/>
      <c r="E1" s="986"/>
      <c r="F1" s="986"/>
    </row>
    <row r="3" spans="1:6" ht="16.5" thickBot="1" x14ac:dyDescent="0.3"/>
    <row r="4" spans="1:6" ht="33" thickTop="1" thickBot="1" x14ac:dyDescent="0.3">
      <c r="A4" s="164" t="s">
        <v>77</v>
      </c>
      <c r="B4" s="165" t="s">
        <v>653</v>
      </c>
      <c r="D4" s="164" t="s">
        <v>77</v>
      </c>
      <c r="E4" s="165" t="s">
        <v>653</v>
      </c>
    </row>
    <row r="5" spans="1:6" s="169" customFormat="1" ht="16.5" thickTop="1" x14ac:dyDescent="0.25">
      <c r="A5" s="167" t="s">
        <v>359</v>
      </c>
      <c r="B5" s="168"/>
      <c r="D5" s="170" t="s">
        <v>360</v>
      </c>
      <c r="E5" s="171"/>
    </row>
    <row r="6" spans="1:6" s="174" customFormat="1" ht="31.5" x14ac:dyDescent="0.25">
      <c r="A6" s="172" t="s">
        <v>79</v>
      </c>
      <c r="B6" s="173">
        <f>5833827+1637+501472+130590</f>
        <v>6467526</v>
      </c>
      <c r="D6" s="172" t="s">
        <v>334</v>
      </c>
      <c r="E6" s="173">
        <f>4678881+19287+453735+110582</f>
        <v>5262485</v>
      </c>
    </row>
    <row r="7" spans="1:6" s="174" customFormat="1" ht="31.5" x14ac:dyDescent="0.25">
      <c r="A7" s="172" t="s">
        <v>32</v>
      </c>
      <c r="B7" s="173">
        <f>1649357+442+140688+36855</f>
        <v>1827342</v>
      </c>
      <c r="D7" s="172" t="s">
        <v>80</v>
      </c>
      <c r="E7" s="173">
        <v>15048049</v>
      </c>
    </row>
    <row r="8" spans="1:6" s="174" customFormat="1" ht="16.5" thickBot="1" x14ac:dyDescent="0.3">
      <c r="A8" s="172" t="s">
        <v>81</v>
      </c>
      <c r="B8" s="173">
        <f>9859044+12241+404138+49703</f>
        <v>10325126</v>
      </c>
      <c r="D8" s="181" t="s">
        <v>78</v>
      </c>
      <c r="E8" s="182">
        <f>5088796+20312+1586</f>
        <v>5110694</v>
      </c>
    </row>
    <row r="9" spans="1:6" s="174" customFormat="1" ht="16.5" thickTop="1" x14ac:dyDescent="0.25">
      <c r="A9" s="176" t="s">
        <v>34</v>
      </c>
      <c r="B9" s="173">
        <f>72165-106-116</f>
        <v>71943</v>
      </c>
      <c r="D9" s="181" t="s">
        <v>336</v>
      </c>
      <c r="E9" s="182">
        <f>305264+2090+9027</f>
        <v>316381</v>
      </c>
      <c r="F9" s="991" t="s">
        <v>364</v>
      </c>
    </row>
    <row r="10" spans="1:6" s="174" customFormat="1" ht="15.75" customHeight="1" x14ac:dyDescent="0.25">
      <c r="A10" s="172" t="s">
        <v>341</v>
      </c>
      <c r="B10" s="177">
        <f>5977896+4580+389206+116142</f>
        <v>6487824</v>
      </c>
      <c r="D10" s="181"/>
      <c r="E10" s="182"/>
      <c r="F10" s="992"/>
    </row>
    <row r="11" spans="1:6" s="174" customFormat="1" ht="16.5" customHeight="1" thickBot="1" x14ac:dyDescent="0.3">
      <c r="A11" s="176" t="s">
        <v>82</v>
      </c>
      <c r="B11" s="177">
        <f>4773184-130891+1931811+38494</f>
        <v>6612598</v>
      </c>
      <c r="D11" s="178"/>
      <c r="E11" s="179"/>
      <c r="F11" s="993"/>
    </row>
    <row r="12" spans="1:6" s="185" customFormat="1" ht="17.25" thickTop="1" thickBot="1" x14ac:dyDescent="0.3">
      <c r="A12" s="183" t="s">
        <v>357</v>
      </c>
      <c r="B12" s="184">
        <f>SUM(B5:B11)</f>
        <v>31792359</v>
      </c>
      <c r="D12" s="183" t="s">
        <v>358</v>
      </c>
      <c r="E12" s="184">
        <f>SUM(E6:E10)</f>
        <v>25737609</v>
      </c>
      <c r="F12" s="184">
        <f>+E12-B12</f>
        <v>-6054750</v>
      </c>
    </row>
    <row r="13" spans="1:6" s="185" customFormat="1" ht="17.25" thickTop="1" thickBot="1" x14ac:dyDescent="0.3">
      <c r="A13" s="357"/>
      <c r="B13" s="358"/>
      <c r="D13" s="357"/>
      <c r="E13" s="358"/>
      <c r="F13" s="358"/>
    </row>
    <row r="14" spans="1:6" s="169" customFormat="1" ht="17.25" thickTop="1" thickBot="1" x14ac:dyDescent="0.3">
      <c r="A14" s="170" t="s">
        <v>368</v>
      </c>
      <c r="B14" s="188"/>
      <c r="D14" s="170" t="s">
        <v>369</v>
      </c>
      <c r="E14" s="171"/>
    </row>
    <row r="15" spans="1:6" s="174" customFormat="1" ht="16.5" customHeight="1" thickTop="1" x14ac:dyDescent="0.25">
      <c r="A15" s="180" t="s">
        <v>388</v>
      </c>
      <c r="B15" s="173">
        <f>9129432+15746+212262+152679</f>
        <v>9510119</v>
      </c>
      <c r="D15" s="181" t="s">
        <v>389</v>
      </c>
      <c r="E15" s="175">
        <f>9129432+15746+212262+152679</f>
        <v>9510119</v>
      </c>
      <c r="F15" s="988" t="s">
        <v>370</v>
      </c>
    </row>
    <row r="16" spans="1:6" s="174" customFormat="1" ht="31.5" x14ac:dyDescent="0.25">
      <c r="A16" s="180" t="s">
        <v>457</v>
      </c>
      <c r="B16" s="173"/>
      <c r="D16" s="438" t="s">
        <v>611</v>
      </c>
      <c r="E16" s="175">
        <v>926430</v>
      </c>
      <c r="F16" s="989"/>
    </row>
    <row r="17" spans="1:6" s="174" customFormat="1" x14ac:dyDescent="0.25">
      <c r="A17" s="774" t="s">
        <v>832</v>
      </c>
      <c r="B17" s="177">
        <f>2800000+500000+1500000</f>
        <v>4800000</v>
      </c>
      <c r="D17" s="180" t="s">
        <v>435</v>
      </c>
      <c r="E17" s="775">
        <f>7400000-600000</f>
        <v>6800000</v>
      </c>
      <c r="F17" s="989"/>
    </row>
    <row r="18" spans="1:6" s="174" customFormat="1" ht="32.25" thickBot="1" x14ac:dyDescent="0.3">
      <c r="A18" s="362" t="s">
        <v>881</v>
      </c>
      <c r="B18" s="363">
        <v>129365</v>
      </c>
      <c r="D18" s="437" t="s">
        <v>831</v>
      </c>
      <c r="E18" s="439">
        <f>2800000+3500000+1500000</f>
        <v>7800000</v>
      </c>
      <c r="F18" s="990"/>
    </row>
    <row r="19" spans="1:6" s="185" customFormat="1" ht="17.25" thickTop="1" thickBot="1" x14ac:dyDescent="0.3">
      <c r="A19" s="183" t="s">
        <v>371</v>
      </c>
      <c r="B19" s="184">
        <f>SUM(B15:B18)</f>
        <v>14439484</v>
      </c>
      <c r="D19" s="183" t="s">
        <v>372</v>
      </c>
      <c r="E19" s="184">
        <f>SUM(E15:E18)</f>
        <v>25036549</v>
      </c>
      <c r="F19" s="184">
        <f>+E19-B19</f>
        <v>10597065</v>
      </c>
    </row>
    <row r="20" spans="1:6" s="185" customFormat="1" ht="17.25" thickTop="1" thickBot="1" x14ac:dyDescent="0.3">
      <c r="A20" s="357"/>
      <c r="B20" s="358"/>
      <c r="D20" s="357"/>
      <c r="E20" s="358"/>
      <c r="F20" s="358"/>
    </row>
    <row r="21" spans="1:6" s="185" customFormat="1" ht="17.25" thickTop="1" thickBot="1" x14ac:dyDescent="0.3">
      <c r="A21" s="357"/>
      <c r="B21" s="357"/>
      <c r="C21" s="357"/>
      <c r="D21" s="994" t="s">
        <v>373</v>
      </c>
      <c r="E21" s="994"/>
      <c r="F21" s="365">
        <f>SUM(F12+F19)</f>
        <v>4542315</v>
      </c>
    </row>
    <row r="22" spans="1:6" s="185" customFormat="1" ht="16.5" thickTop="1" x14ac:dyDescent="0.25">
      <c r="A22" s="357"/>
      <c r="B22" s="358"/>
      <c r="D22" s="357"/>
      <c r="E22" s="358"/>
      <c r="F22" s="358"/>
    </row>
    <row r="23" spans="1:6" s="185" customFormat="1" ht="16.5" thickBot="1" x14ac:dyDescent="0.3">
      <c r="A23" s="357"/>
      <c r="B23" s="358"/>
      <c r="D23" s="357"/>
      <c r="E23" s="358"/>
      <c r="F23" s="358"/>
    </row>
    <row r="24" spans="1:6" ht="33" thickTop="1" thickBot="1" x14ac:dyDescent="0.3">
      <c r="A24" s="164" t="s">
        <v>77</v>
      </c>
      <c r="B24" s="165" t="s">
        <v>653</v>
      </c>
      <c r="D24" s="164" t="s">
        <v>77</v>
      </c>
      <c r="E24" s="165" t="s">
        <v>653</v>
      </c>
    </row>
    <row r="25" spans="1:6" ht="16.5" thickTop="1" x14ac:dyDescent="0.25">
      <c r="A25" s="170" t="s">
        <v>361</v>
      </c>
      <c r="B25" s="188"/>
      <c r="D25" s="170" t="s">
        <v>362</v>
      </c>
      <c r="E25" s="188"/>
    </row>
    <row r="26" spans="1:6" ht="32.25" customHeight="1" thickBot="1" x14ac:dyDescent="0.3">
      <c r="A26" s="172" t="s">
        <v>76</v>
      </c>
      <c r="B26" s="173">
        <f>18605952+133198+131218+832163</f>
        <v>19702531</v>
      </c>
      <c r="D26" s="172" t="s">
        <v>356</v>
      </c>
      <c r="E26" s="173">
        <f>15479240+1267483</f>
        <v>16746723</v>
      </c>
      <c r="F26" s="443"/>
    </row>
    <row r="27" spans="1:6" ht="16.5" thickTop="1" x14ac:dyDescent="0.25">
      <c r="A27" s="172" t="s">
        <v>85</v>
      </c>
      <c r="B27" s="173">
        <f>1478886-4420+163105+145384</f>
        <v>1782955</v>
      </c>
      <c r="D27" s="172" t="s">
        <v>363</v>
      </c>
      <c r="E27" s="173">
        <f>129000+16010</f>
        <v>145010</v>
      </c>
      <c r="F27" s="988" t="s">
        <v>365</v>
      </c>
    </row>
    <row r="28" spans="1:6" x14ac:dyDescent="0.25">
      <c r="A28" s="172" t="s">
        <v>331</v>
      </c>
      <c r="B28" s="173">
        <f>331725+2500+27680+39463</f>
        <v>401368</v>
      </c>
      <c r="D28" s="172" t="s">
        <v>337</v>
      </c>
      <c r="E28" s="173">
        <v>452806</v>
      </c>
      <c r="F28" s="989"/>
    </row>
    <row r="29" spans="1:6" ht="16.5" thickBot="1" x14ac:dyDescent="0.3">
      <c r="A29" s="172"/>
      <c r="B29" s="173"/>
      <c r="D29" s="441"/>
      <c r="E29" s="442"/>
      <c r="F29" s="990"/>
    </row>
    <row r="30" spans="1:6" s="185" customFormat="1" ht="17.25" thickTop="1" thickBot="1" x14ac:dyDescent="0.3">
      <c r="A30" s="183" t="s">
        <v>366</v>
      </c>
      <c r="B30" s="184">
        <f>SUM(B26:B29)</f>
        <v>21886854</v>
      </c>
      <c r="D30" s="183" t="s">
        <v>367</v>
      </c>
      <c r="E30" s="184">
        <f>SUM(E26:E28)</f>
        <v>17344539</v>
      </c>
      <c r="F30" s="184">
        <f>+E30-B30</f>
        <v>-4542315</v>
      </c>
    </row>
    <row r="31" spans="1:6" s="185" customFormat="1" ht="17.25" thickTop="1" thickBot="1" x14ac:dyDescent="0.3">
      <c r="A31" s="357"/>
      <c r="B31" s="358"/>
      <c r="D31" s="357"/>
      <c r="E31" s="358"/>
      <c r="F31" s="358"/>
    </row>
    <row r="32" spans="1:6" s="169" customFormat="1" ht="17.25" thickTop="1" thickBot="1" x14ac:dyDescent="0.3">
      <c r="A32" s="170" t="s">
        <v>374</v>
      </c>
      <c r="B32" s="188"/>
      <c r="D32" s="170" t="s">
        <v>376</v>
      </c>
      <c r="E32" s="171"/>
    </row>
    <row r="33" spans="1:6" s="174" customFormat="1" ht="16.5" thickTop="1" x14ac:dyDescent="0.25">
      <c r="A33" s="180" t="s">
        <v>388</v>
      </c>
      <c r="B33" s="173">
        <f>112152+4420+12324</f>
        <v>128896</v>
      </c>
      <c r="D33" s="181" t="s">
        <v>389</v>
      </c>
      <c r="E33" s="175">
        <f>112152+4420+12324</f>
        <v>128896</v>
      </c>
      <c r="F33" s="988" t="s">
        <v>383</v>
      </c>
    </row>
    <row r="34" spans="1:6" s="174" customFormat="1" ht="32.25" thickBot="1" x14ac:dyDescent="0.3">
      <c r="A34" s="362"/>
      <c r="B34" s="363"/>
      <c r="D34" s="180" t="s">
        <v>610</v>
      </c>
      <c r="E34" s="361"/>
      <c r="F34" s="990"/>
    </row>
    <row r="35" spans="1:6" s="185" customFormat="1" ht="17.25" thickTop="1" thickBot="1" x14ac:dyDescent="0.3">
      <c r="A35" s="183" t="s">
        <v>375</v>
      </c>
      <c r="B35" s="184">
        <f>SUM(B33)</f>
        <v>128896</v>
      </c>
      <c r="D35" s="183" t="s">
        <v>377</v>
      </c>
      <c r="E35" s="184">
        <f>SUM(E33:E34)</f>
        <v>128896</v>
      </c>
      <c r="F35" s="184">
        <f>+E35-B35</f>
        <v>0</v>
      </c>
    </row>
    <row r="36" spans="1:6" s="185" customFormat="1" ht="17.25" thickTop="1" thickBot="1" x14ac:dyDescent="0.3">
      <c r="A36" s="357"/>
      <c r="B36" s="358"/>
      <c r="D36" s="357"/>
      <c r="E36" s="358"/>
      <c r="F36" s="358"/>
    </row>
    <row r="37" spans="1:6" s="185" customFormat="1" ht="17.25" thickTop="1" thickBot="1" x14ac:dyDescent="0.3">
      <c r="A37" s="357"/>
      <c r="B37" s="357"/>
      <c r="C37" s="357"/>
      <c r="D37" s="994" t="s">
        <v>378</v>
      </c>
      <c r="E37" s="994"/>
      <c r="F37" s="365">
        <f>SUM(F30+F35)</f>
        <v>-4542315</v>
      </c>
    </row>
    <row r="38" spans="1:6" s="185" customFormat="1" ht="17.25" thickTop="1" thickBot="1" x14ac:dyDescent="0.3">
      <c r="A38" s="357"/>
      <c r="B38" s="358"/>
      <c r="D38" s="357"/>
      <c r="E38" s="358"/>
      <c r="F38" s="358"/>
    </row>
    <row r="39" spans="1:6" s="185" customFormat="1" ht="33" thickTop="1" thickBot="1" x14ac:dyDescent="0.3">
      <c r="A39" s="357"/>
      <c r="B39" s="358"/>
      <c r="D39" s="357"/>
      <c r="E39" s="358"/>
      <c r="F39" s="190" t="s">
        <v>87</v>
      </c>
    </row>
    <row r="40" spans="1:6" s="185" customFormat="1" ht="17.25" thickTop="1" thickBot="1" x14ac:dyDescent="0.3">
      <c r="A40" s="191" t="s">
        <v>88</v>
      </c>
      <c r="B40" s="192">
        <f>SUM(B30+B12)</f>
        <v>53679213</v>
      </c>
      <c r="C40" s="166"/>
      <c r="D40" s="191" t="s">
        <v>89</v>
      </c>
      <c r="E40" s="193">
        <f>SUM(E30+E12)</f>
        <v>43082148</v>
      </c>
      <c r="F40" s="194">
        <f>SUM(E40-B40)</f>
        <v>-10597065</v>
      </c>
    </row>
    <row r="41" spans="1:6" s="185" customFormat="1" ht="17.25" thickTop="1" thickBot="1" x14ac:dyDescent="0.3">
      <c r="A41" s="359"/>
      <c r="B41" s="360"/>
      <c r="C41" s="166"/>
      <c r="D41" s="359"/>
      <c r="E41" s="364"/>
      <c r="F41" s="364"/>
    </row>
    <row r="42" spans="1:6" s="185" customFormat="1" ht="33" thickTop="1" thickBot="1" x14ac:dyDescent="0.3">
      <c r="A42" s="357"/>
      <c r="B42" s="358"/>
      <c r="D42" s="357"/>
      <c r="E42" s="358"/>
      <c r="F42" s="190" t="s">
        <v>382</v>
      </c>
    </row>
    <row r="43" spans="1:6" s="185" customFormat="1" ht="17.25" thickTop="1" thickBot="1" x14ac:dyDescent="0.3">
      <c r="A43" s="191" t="s">
        <v>379</v>
      </c>
      <c r="B43" s="192">
        <f>SUM(B35+B19)</f>
        <v>14568380</v>
      </c>
      <c r="C43" s="166"/>
      <c r="D43" s="191" t="s">
        <v>380</v>
      </c>
      <c r="E43" s="193">
        <f>SUM(E35+E19)</f>
        <v>25165445</v>
      </c>
      <c r="F43" s="194">
        <f>SUM(E43-B43)</f>
        <v>10597065</v>
      </c>
    </row>
    <row r="44" spans="1:6" s="185" customFormat="1" ht="17.25" thickTop="1" thickBot="1" x14ac:dyDescent="0.3">
      <c r="A44" s="357"/>
      <c r="B44" s="358"/>
      <c r="D44" s="357"/>
      <c r="E44" s="358"/>
      <c r="F44" s="358"/>
    </row>
    <row r="45" spans="1:6" s="185" customFormat="1" ht="17.25" thickTop="1" thickBot="1" x14ac:dyDescent="0.3">
      <c r="A45" s="357"/>
      <c r="B45" s="358"/>
      <c r="D45" s="987" t="s">
        <v>381</v>
      </c>
      <c r="E45" s="987"/>
      <c r="F45" s="366">
        <f>SUM(F40+F43)</f>
        <v>0</v>
      </c>
    </row>
    <row r="46" spans="1:6" s="185" customFormat="1" ht="16.5" thickTop="1" x14ac:dyDescent="0.25">
      <c r="A46" s="357"/>
      <c r="B46" s="358"/>
      <c r="D46" s="357"/>
      <c r="E46" s="358"/>
      <c r="F46" s="358"/>
    </row>
    <row r="47" spans="1:6" x14ac:dyDescent="0.25">
      <c r="A47" s="195"/>
      <c r="C47" s="189"/>
      <c r="E47" s="187"/>
      <c r="F47" s="189"/>
    </row>
    <row r="48" spans="1:6" x14ac:dyDescent="0.25">
      <c r="E48" s="187"/>
    </row>
    <row r="49" spans="1:6" x14ac:dyDescent="0.25">
      <c r="A49" s="195"/>
      <c r="B49" s="196"/>
      <c r="E49" s="196"/>
      <c r="F49" s="189"/>
    </row>
    <row r="50" spans="1:6" x14ac:dyDescent="0.25">
      <c r="A50" s="195"/>
      <c r="C50" s="189"/>
      <c r="E50" s="187"/>
    </row>
    <row r="51" spans="1:6" x14ac:dyDescent="0.25">
      <c r="C51" s="189"/>
      <c r="E51" s="187"/>
    </row>
    <row r="52" spans="1:6" x14ac:dyDescent="0.25">
      <c r="A52" s="195"/>
      <c r="D52" s="197"/>
      <c r="E52" s="187"/>
    </row>
  </sheetData>
  <mergeCells count="8">
    <mergeCell ref="A1:F1"/>
    <mergeCell ref="D45:E45"/>
    <mergeCell ref="F15:F18"/>
    <mergeCell ref="F9:F11"/>
    <mergeCell ref="F27:F29"/>
    <mergeCell ref="D21:E21"/>
    <mergeCell ref="F33:F34"/>
    <mergeCell ref="D37:E37"/>
  </mergeCells>
  <phoneticPr fontId="44" type="noConversion"/>
  <printOptions horizontalCentered="1"/>
  <pageMargins left="0.31496062992125984" right="0.23622047244094491" top="0.6692913385826772" bottom="0.23622047244094491" header="0.43307086614173229" footer="0.15748031496062992"/>
  <pageSetup paperSize="9" scale="58" orientation="landscape" r:id="rId1"/>
  <headerFooter alignWithMargins="0">
    <oddHeader>&amp;C&amp;"Times New Roman CE,Félkövér"
&amp;R&amp;"Times New Roman CE,Félkövér"&amp;11 14. melléklet a 28/2016.(VI.24.) önkormányzati rendelethez&amp;"Times New Roman CE,Dőlt"&amp;10
17. melléklet
a 3/2016.(II.12.) önkormányzati rendelethez</oddHeader>
    <oddFooter xml:space="preserve">&amp;C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opLeftCell="A17" zoomScaleNormal="100" workbookViewId="0">
      <selection activeCell="N34" sqref="N34"/>
    </sheetView>
  </sheetViews>
  <sheetFormatPr defaultColWidth="8" defaultRowHeight="15.75" x14ac:dyDescent="0.25"/>
  <cols>
    <col min="1" max="1" width="27.5" style="201" customWidth="1"/>
    <col min="2" max="2" width="11" style="200" bestFit="1" customWidth="1"/>
    <col min="3" max="3" width="12" style="200" customWidth="1"/>
    <col min="4" max="5" width="11" style="200" bestFit="1" customWidth="1"/>
    <col min="6" max="6" width="10.5" style="200" customWidth="1"/>
    <col min="7" max="7" width="12.5" style="200" customWidth="1"/>
    <col min="8" max="8" width="11.125" style="200" customWidth="1"/>
    <col min="9" max="9" width="10" style="200" bestFit="1" customWidth="1"/>
    <col min="10" max="10" width="11" style="200" bestFit="1" customWidth="1"/>
    <col min="11" max="11" width="11" style="200" customWidth="1"/>
    <col min="12" max="12" width="11.125" style="200" customWidth="1"/>
    <col min="13" max="13" width="11.625" style="200" customWidth="1"/>
    <col min="14" max="14" width="11" style="200" bestFit="1" customWidth="1"/>
    <col min="15" max="15" width="9.875" style="200" bestFit="1" customWidth="1"/>
    <col min="16" max="16" width="9.875" style="201" bestFit="1" customWidth="1"/>
    <col min="17" max="16384" width="8" style="201"/>
  </cols>
  <sheetData>
    <row r="1" spans="1:15" x14ac:dyDescent="0.25">
      <c r="A1" s="995" t="s">
        <v>821</v>
      </c>
      <c r="B1" s="995"/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</row>
    <row r="2" spans="1:15" x14ac:dyDescent="0.25">
      <c r="A2" s="995" t="s">
        <v>234</v>
      </c>
      <c r="B2" s="995"/>
      <c r="C2" s="995"/>
      <c r="D2" s="995"/>
      <c r="E2" s="995"/>
      <c r="F2" s="995"/>
      <c r="G2" s="995"/>
      <c r="H2" s="995"/>
      <c r="I2" s="995"/>
      <c r="J2" s="995"/>
      <c r="K2" s="995"/>
      <c r="L2" s="995"/>
      <c r="M2" s="995"/>
      <c r="N2" s="995"/>
    </row>
    <row r="4" spans="1:15" ht="16.5" thickBot="1" x14ac:dyDescent="0.3">
      <c r="A4" s="198" t="s">
        <v>53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</row>
    <row r="5" spans="1:15" s="205" customFormat="1" x14ac:dyDescent="0.25">
      <c r="A5" s="202" t="s">
        <v>184</v>
      </c>
      <c r="B5" s="203" t="s">
        <v>54</v>
      </c>
      <c r="C5" s="203" t="s">
        <v>55</v>
      </c>
      <c r="D5" s="203" t="s">
        <v>56</v>
      </c>
      <c r="E5" s="203" t="s">
        <v>57</v>
      </c>
      <c r="F5" s="203" t="s">
        <v>58</v>
      </c>
      <c r="G5" s="203" t="s">
        <v>59</v>
      </c>
      <c r="H5" s="203" t="s">
        <v>60</v>
      </c>
      <c r="I5" s="203" t="s">
        <v>61</v>
      </c>
      <c r="J5" s="203" t="s">
        <v>62</v>
      </c>
      <c r="K5" s="203" t="s">
        <v>63</v>
      </c>
      <c r="L5" s="203" t="s">
        <v>64</v>
      </c>
      <c r="M5" s="203" t="s">
        <v>65</v>
      </c>
      <c r="N5" s="204" t="s">
        <v>66</v>
      </c>
      <c r="O5" s="200"/>
    </row>
    <row r="6" spans="1:15" ht="31.5" x14ac:dyDescent="0.25">
      <c r="A6" s="206" t="s">
        <v>334</v>
      </c>
      <c r="B6" s="207">
        <v>409857</v>
      </c>
      <c r="C6" s="207">
        <v>335394</v>
      </c>
      <c r="D6" s="207">
        <v>476431</v>
      </c>
      <c r="E6" s="207">
        <v>508475</v>
      </c>
      <c r="F6" s="207">
        <v>441541</v>
      </c>
      <c r="G6" s="207">
        <v>441541</v>
      </c>
      <c r="H6" s="207">
        <v>441541</v>
      </c>
      <c r="I6" s="207">
        <v>441541</v>
      </c>
      <c r="J6" s="207">
        <v>441541</v>
      </c>
      <c r="K6" s="207">
        <v>441541</v>
      </c>
      <c r="L6" s="207">
        <v>441541</v>
      </c>
      <c r="M6" s="207">
        <v>441541</v>
      </c>
      <c r="N6" s="208">
        <f>SUM(B6:M6)</f>
        <v>5262485</v>
      </c>
    </row>
    <row r="7" spans="1:15" ht="31.5" x14ac:dyDescent="0.25">
      <c r="A7" s="206" t="s">
        <v>335</v>
      </c>
      <c r="B7" s="207"/>
      <c r="C7" s="207">
        <v>235578</v>
      </c>
      <c r="D7" s="207"/>
      <c r="E7" s="207">
        <v>1500286</v>
      </c>
      <c r="F7" s="207"/>
      <c r="G7" s="207">
        <f>7813619+600286</f>
        <v>8413905</v>
      </c>
      <c r="H7" s="207">
        <v>474904</v>
      </c>
      <c r="I7" s="207">
        <v>70500</v>
      </c>
      <c r="J7" s="207">
        <f>508990+400000</f>
        <v>908990</v>
      </c>
      <c r="K7" s="207">
        <v>1538895</v>
      </c>
      <c r="L7" s="207">
        <f>1468015+333817</f>
        <v>1801832</v>
      </c>
      <c r="M7" s="207">
        <f>1468016+333817</f>
        <v>1801833</v>
      </c>
      <c r="N7" s="208">
        <f t="shared" ref="N7:N15" si="0">SUM(B7:M7)</f>
        <v>16746723</v>
      </c>
    </row>
    <row r="8" spans="1:15" x14ac:dyDescent="0.25">
      <c r="A8" s="206" t="s">
        <v>80</v>
      </c>
      <c r="B8" s="207">
        <v>39810</v>
      </c>
      <c r="C8" s="207">
        <v>82590</v>
      </c>
      <c r="D8" s="207">
        <v>6307306</v>
      </c>
      <c r="E8" s="207">
        <v>165481</v>
      </c>
      <c r="F8" s="207">
        <v>150000</v>
      </c>
      <c r="G8" s="207">
        <v>1100000</v>
      </c>
      <c r="H8" s="207">
        <v>100000</v>
      </c>
      <c r="I8" s="207">
        <v>100000</v>
      </c>
      <c r="J8" s="207">
        <v>5300000</v>
      </c>
      <c r="K8" s="207">
        <v>150000</v>
      </c>
      <c r="L8" s="207">
        <v>100000</v>
      </c>
      <c r="M8" s="207">
        <v>1452862</v>
      </c>
      <c r="N8" s="208">
        <f t="shared" si="0"/>
        <v>15048049</v>
      </c>
    </row>
    <row r="9" spans="1:15" x14ac:dyDescent="0.25">
      <c r="A9" s="206" t="s">
        <v>78</v>
      </c>
      <c r="B9" s="207">
        <f>22309+147690</f>
        <v>169999</v>
      </c>
      <c r="C9" s="207">
        <f>539528+181010</f>
        <v>720538</v>
      </c>
      <c r="D9" s="207">
        <f>135863+243680</f>
        <v>379543</v>
      </c>
      <c r="E9" s="207">
        <v>44262</v>
      </c>
      <c r="F9" s="207">
        <f>223060+238642</f>
        <v>461702</v>
      </c>
      <c r="G9" s="207">
        <f>237298+238642</f>
        <v>475940</v>
      </c>
      <c r="H9" s="207">
        <f>225647+238642</f>
        <v>464289</v>
      </c>
      <c r="I9" s="207">
        <f>199618+238642</f>
        <v>438260</v>
      </c>
      <c r="J9" s="207">
        <f>310912+238642</f>
        <v>549554</v>
      </c>
      <c r="K9" s="207">
        <f>245825+238642</f>
        <v>484467</v>
      </c>
      <c r="L9" s="207">
        <f>246121+238642</f>
        <v>484763</v>
      </c>
      <c r="M9" s="207">
        <f>198733+238644</f>
        <v>437377</v>
      </c>
      <c r="N9" s="208">
        <f t="shared" si="0"/>
        <v>5110694</v>
      </c>
    </row>
    <row r="10" spans="1:15" x14ac:dyDescent="0.25">
      <c r="A10" s="206" t="s">
        <v>84</v>
      </c>
      <c r="B10" s="207">
        <v>3361</v>
      </c>
      <c r="C10" s="207">
        <v>56194</v>
      </c>
      <c r="D10" s="207">
        <v>14611</v>
      </c>
      <c r="E10" s="207"/>
      <c r="F10" s="207"/>
      <c r="G10" s="207">
        <v>14169</v>
      </c>
      <c r="H10" s="207">
        <v>14169</v>
      </c>
      <c r="I10" s="207">
        <v>14169</v>
      </c>
      <c r="J10" s="207">
        <v>14169</v>
      </c>
      <c r="K10" s="207">
        <v>14168</v>
      </c>
      <c r="L10" s="207"/>
      <c r="M10" s="207"/>
      <c r="N10" s="208">
        <f t="shared" si="0"/>
        <v>145010</v>
      </c>
    </row>
    <row r="11" spans="1:15" x14ac:dyDescent="0.25">
      <c r="A11" s="206" t="s">
        <v>83</v>
      </c>
      <c r="B11" s="207">
        <f>11923+68340</f>
        <v>80263</v>
      </c>
      <c r="C11" s="207">
        <v>826</v>
      </c>
      <c r="D11" s="207">
        <v>41</v>
      </c>
      <c r="E11" s="207">
        <v>1661</v>
      </c>
      <c r="F11" s="207">
        <f>6000+66369</f>
        <v>72369</v>
      </c>
      <c r="G11" s="207">
        <v>6000</v>
      </c>
      <c r="H11" s="207">
        <v>8000</v>
      </c>
      <c r="I11" s="207">
        <v>8000</v>
      </c>
      <c r="J11" s="207">
        <f>8000+6643</f>
        <v>14643</v>
      </c>
      <c r="K11" s="207">
        <v>8000</v>
      </c>
      <c r="L11" s="207">
        <v>26578</v>
      </c>
      <c r="M11" s="207">
        <f>15000+50000+25000</f>
        <v>90000</v>
      </c>
      <c r="N11" s="208">
        <f t="shared" si="0"/>
        <v>316381</v>
      </c>
    </row>
    <row r="12" spans="1:15" ht="31.5" x14ac:dyDescent="0.25">
      <c r="A12" s="206" t="s">
        <v>86</v>
      </c>
      <c r="B12" s="207">
        <v>6450</v>
      </c>
      <c r="C12" s="207">
        <v>10572</v>
      </c>
      <c r="D12" s="207">
        <v>9303</v>
      </c>
      <c r="E12" s="207">
        <v>15044</v>
      </c>
      <c r="F12" s="207">
        <v>3956</v>
      </c>
      <c r="G12" s="207">
        <f>129789+3956</f>
        <v>133745</v>
      </c>
      <c r="H12" s="207">
        <v>3956</v>
      </c>
      <c r="I12" s="207">
        <v>3956</v>
      </c>
      <c r="J12" s="207">
        <v>3956</v>
      </c>
      <c r="K12" s="207">
        <v>3956</v>
      </c>
      <c r="L12" s="207">
        <v>3956</v>
      </c>
      <c r="M12" s="207">
        <f>250000+3956</f>
        <v>253956</v>
      </c>
      <c r="N12" s="208">
        <f t="shared" si="0"/>
        <v>452806</v>
      </c>
    </row>
    <row r="13" spans="1:15" x14ac:dyDescent="0.25">
      <c r="A13" s="206" t="s">
        <v>338</v>
      </c>
      <c r="B13" s="207"/>
      <c r="C13" s="207"/>
      <c r="D13" s="207"/>
      <c r="E13" s="207"/>
      <c r="F13" s="207">
        <v>926430</v>
      </c>
      <c r="G13" s="207"/>
      <c r="H13" s="207"/>
      <c r="I13" s="207"/>
      <c r="J13" s="207"/>
      <c r="K13" s="207"/>
      <c r="L13" s="207"/>
      <c r="M13" s="207"/>
      <c r="N13" s="208">
        <f t="shared" si="0"/>
        <v>926430</v>
      </c>
    </row>
    <row r="14" spans="1:15" ht="31.5" x14ac:dyDescent="0.25">
      <c r="A14" s="467" t="s">
        <v>435</v>
      </c>
      <c r="B14" s="468">
        <v>2100000</v>
      </c>
      <c r="C14" s="468">
        <v>4700000</v>
      </c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208">
        <f t="shared" si="0"/>
        <v>6800000</v>
      </c>
    </row>
    <row r="15" spans="1:15" ht="47.25" x14ac:dyDescent="0.25">
      <c r="A15" s="467" t="s">
        <v>831</v>
      </c>
      <c r="B15" s="468"/>
      <c r="C15" s="468"/>
      <c r="D15" s="468"/>
      <c r="E15" s="468"/>
      <c r="F15" s="468"/>
      <c r="G15" s="468"/>
      <c r="H15" s="468"/>
      <c r="I15" s="468">
        <v>2000000</v>
      </c>
      <c r="J15" s="468">
        <v>1300000</v>
      </c>
      <c r="K15" s="468"/>
      <c r="L15" s="468"/>
      <c r="M15" s="468">
        <v>4500000</v>
      </c>
      <c r="N15" s="208">
        <f t="shared" si="0"/>
        <v>7800000</v>
      </c>
    </row>
    <row r="16" spans="1:15" s="212" customFormat="1" ht="16.5" thickBot="1" x14ac:dyDescent="0.3">
      <c r="A16" s="209" t="s">
        <v>462</v>
      </c>
      <c r="B16" s="210">
        <f>SUM(B6:B15)</f>
        <v>2809740</v>
      </c>
      <c r="C16" s="210">
        <f t="shared" ref="C16:M16" si="1">SUM(C6:C15)</f>
        <v>6141692</v>
      </c>
      <c r="D16" s="210">
        <f t="shared" si="1"/>
        <v>7187235</v>
      </c>
      <c r="E16" s="210">
        <f t="shared" si="1"/>
        <v>2235209</v>
      </c>
      <c r="F16" s="210">
        <f t="shared" si="1"/>
        <v>2055998</v>
      </c>
      <c r="G16" s="210">
        <f t="shared" si="1"/>
        <v>10585300</v>
      </c>
      <c r="H16" s="210">
        <f t="shared" si="1"/>
        <v>1506859</v>
      </c>
      <c r="I16" s="210">
        <f t="shared" si="1"/>
        <v>3076426</v>
      </c>
      <c r="J16" s="210">
        <f t="shared" si="1"/>
        <v>8532853</v>
      </c>
      <c r="K16" s="210">
        <f t="shared" si="1"/>
        <v>2641027</v>
      </c>
      <c r="L16" s="210">
        <f t="shared" si="1"/>
        <v>2858670</v>
      </c>
      <c r="M16" s="210">
        <f t="shared" si="1"/>
        <v>8977569</v>
      </c>
      <c r="N16" s="875">
        <f>SUM(N6:N15)</f>
        <v>58608578</v>
      </c>
      <c r="O16" s="200"/>
    </row>
    <row r="17" spans="1:14" x14ac:dyDescent="0.25">
      <c r="A17" s="198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</row>
    <row r="18" spans="1:14" ht="16.5" thickBot="1" x14ac:dyDescent="0.3">
      <c r="A18" s="214" t="s">
        <v>67</v>
      </c>
    </row>
    <row r="19" spans="1:14" x14ac:dyDescent="0.25">
      <c r="A19" s="215" t="s">
        <v>73</v>
      </c>
      <c r="B19" s="216">
        <v>1071183</v>
      </c>
      <c r="C19" s="216">
        <v>905845</v>
      </c>
      <c r="D19" s="216">
        <v>918233</v>
      </c>
      <c r="E19" s="216">
        <v>997951</v>
      </c>
      <c r="F19" s="216">
        <f>1052212+21744-777</f>
        <v>1073179</v>
      </c>
      <c r="G19" s="216">
        <f>1041445+21744</f>
        <v>1063189</v>
      </c>
      <c r="H19" s="216">
        <f>975930+21744+10000</f>
        <v>1007674</v>
      </c>
      <c r="I19" s="216">
        <f>1088705+21744</f>
        <v>1110449</v>
      </c>
      <c r="J19" s="216">
        <f>1021396+21744</f>
        <v>1043140</v>
      </c>
      <c r="K19" s="216">
        <f>1052363+21744</f>
        <v>1074107</v>
      </c>
      <c r="L19" s="216">
        <f>1077437+21744</f>
        <v>1099181</v>
      </c>
      <c r="M19" s="216">
        <f>1361291+21743</f>
        <v>1383034</v>
      </c>
      <c r="N19" s="217">
        <f t="shared" ref="N19:N26" si="2">SUM(B19:M19)</f>
        <v>12747165</v>
      </c>
    </row>
    <row r="20" spans="1:14" ht="31.5" x14ac:dyDescent="0.25">
      <c r="A20" s="206" t="s">
        <v>68</v>
      </c>
      <c r="B20" s="207">
        <v>378834</v>
      </c>
      <c r="C20" s="207">
        <v>592030</v>
      </c>
      <c r="D20" s="207">
        <v>908921</v>
      </c>
      <c r="E20" s="207">
        <v>600133</v>
      </c>
      <c r="F20" s="207">
        <f>666966+64928</f>
        <v>731894</v>
      </c>
      <c r="G20" s="207">
        <f>700621+64928</f>
        <v>765549</v>
      </c>
      <c r="H20" s="207">
        <f>684167+64928+3000</f>
        <v>752095</v>
      </c>
      <c r="I20" s="207">
        <f>666965+64928</f>
        <v>731893</v>
      </c>
      <c r="J20" s="207">
        <f>1053825+64928</f>
        <v>1118753</v>
      </c>
      <c r="K20" s="207">
        <f>895809+64928</f>
        <v>960737</v>
      </c>
      <c r="L20" s="207">
        <f>895809+64928</f>
        <v>960737</v>
      </c>
      <c r="M20" s="207">
        <f>938093+64931</f>
        <v>1003024</v>
      </c>
      <c r="N20" s="208">
        <f t="shared" si="2"/>
        <v>9504600</v>
      </c>
    </row>
    <row r="21" spans="1:14" x14ac:dyDescent="0.25">
      <c r="A21" s="206" t="s">
        <v>385</v>
      </c>
      <c r="B21" s="207">
        <v>14289</v>
      </c>
      <c r="C21" s="207">
        <v>3342</v>
      </c>
      <c r="D21" s="207">
        <v>5427</v>
      </c>
      <c r="E21" s="207">
        <v>29003</v>
      </c>
      <c r="F21" s="207">
        <v>20641</v>
      </c>
      <c r="G21" s="207">
        <v>20641</v>
      </c>
      <c r="H21" s="207">
        <v>20641</v>
      </c>
      <c r="I21" s="207">
        <v>20641</v>
      </c>
      <c r="J21" s="207">
        <v>20642</v>
      </c>
      <c r="K21" s="207">
        <v>20642</v>
      </c>
      <c r="L21" s="207">
        <v>20642</v>
      </c>
      <c r="M21" s="207">
        <v>20642</v>
      </c>
      <c r="N21" s="208">
        <f t="shared" si="2"/>
        <v>217193</v>
      </c>
    </row>
    <row r="22" spans="1:14" s="200" customFormat="1" x14ac:dyDescent="0.25">
      <c r="A22" s="206" t="s">
        <v>69</v>
      </c>
      <c r="B22" s="207">
        <v>71673</v>
      </c>
      <c r="C22" s="207">
        <v>7669</v>
      </c>
      <c r="D22" s="207">
        <v>0</v>
      </c>
      <c r="E22" s="207">
        <v>36705</v>
      </c>
      <c r="F22" s="207">
        <v>94675</v>
      </c>
      <c r="G22" s="207">
        <v>94675</v>
      </c>
      <c r="H22" s="207">
        <f>150000+94675</f>
        <v>244675</v>
      </c>
      <c r="I22" s="207">
        <v>94675</v>
      </c>
      <c r="J22" s="207">
        <v>94675</v>
      </c>
      <c r="K22" s="207">
        <f>150000+94673</f>
        <v>244673</v>
      </c>
      <c r="L22" s="207">
        <v>329448</v>
      </c>
      <c r="M22" s="207">
        <v>329448</v>
      </c>
      <c r="N22" s="208">
        <f t="shared" si="2"/>
        <v>1642991</v>
      </c>
    </row>
    <row r="23" spans="1:14" s="200" customFormat="1" ht="31.5" x14ac:dyDescent="0.25">
      <c r="A23" s="206" t="s">
        <v>384</v>
      </c>
      <c r="B23" s="207">
        <v>127796</v>
      </c>
      <c r="C23" s="207">
        <v>22012</v>
      </c>
      <c r="D23" s="207">
        <v>708922</v>
      </c>
      <c r="E23" s="207">
        <v>121530</v>
      </c>
      <c r="F23" s="207">
        <v>1167663</v>
      </c>
      <c r="G23" s="207">
        <f>7813619+600286+2184371</f>
        <v>10598276</v>
      </c>
      <c r="H23" s="207">
        <f>474904+549073</f>
        <v>1023977</v>
      </c>
      <c r="I23" s="207">
        <f>386573+500000</f>
        <v>886573</v>
      </c>
      <c r="J23" s="207">
        <f>508990+400000+561592</f>
        <v>1470582</v>
      </c>
      <c r="K23" s="207">
        <f>1538895+561592</f>
        <v>2100487</v>
      </c>
      <c r="L23" s="207">
        <f>1468015+333817+561592</f>
        <v>2363424</v>
      </c>
      <c r="M23" s="207">
        <f>1468016+333817+561591</f>
        <v>2363424</v>
      </c>
      <c r="N23" s="208">
        <f t="shared" si="2"/>
        <v>22954666</v>
      </c>
    </row>
    <row r="24" spans="1:14" s="200" customFormat="1" x14ac:dyDescent="0.25">
      <c r="A24" s="206" t="s">
        <v>70</v>
      </c>
      <c r="B24" s="207"/>
      <c r="C24" s="207"/>
      <c r="D24" s="207"/>
      <c r="E24" s="207"/>
      <c r="F24" s="207"/>
      <c r="G24" s="207"/>
      <c r="H24" s="207"/>
      <c r="I24" s="207"/>
      <c r="J24" s="207">
        <v>200000</v>
      </c>
      <c r="K24" s="207"/>
      <c r="L24" s="207"/>
      <c r="M24" s="207">
        <v>6412598</v>
      </c>
      <c r="N24" s="208">
        <f t="shared" si="2"/>
        <v>6612598</v>
      </c>
    </row>
    <row r="25" spans="1:14" s="200" customFormat="1" ht="31.5" customHeight="1" x14ac:dyDescent="0.25">
      <c r="A25" s="467" t="s">
        <v>832</v>
      </c>
      <c r="B25" s="468"/>
      <c r="C25" s="468">
        <v>2000000</v>
      </c>
      <c r="D25" s="468">
        <v>1300000</v>
      </c>
      <c r="E25" s="468"/>
      <c r="F25" s="468"/>
      <c r="G25" s="468">
        <v>1500000</v>
      </c>
      <c r="H25" s="468"/>
      <c r="I25" s="468"/>
      <c r="J25" s="468"/>
      <c r="K25" s="468"/>
      <c r="L25" s="468"/>
      <c r="M25" s="468"/>
      <c r="N25" s="208">
        <f t="shared" si="2"/>
        <v>4800000</v>
      </c>
    </row>
    <row r="26" spans="1:14" s="200" customFormat="1" ht="31.5" x14ac:dyDescent="0.25">
      <c r="A26" s="467" t="s">
        <v>881</v>
      </c>
      <c r="B26" s="468">
        <v>129365</v>
      </c>
      <c r="C26" s="468"/>
      <c r="D26" s="468"/>
      <c r="E26" s="468"/>
      <c r="F26" s="468"/>
      <c r="G26" s="468"/>
      <c r="H26" s="468"/>
      <c r="I26" s="468"/>
      <c r="J26" s="468"/>
      <c r="K26" s="468"/>
      <c r="L26" s="468"/>
      <c r="M26" s="468"/>
      <c r="N26" s="208">
        <f t="shared" si="2"/>
        <v>129365</v>
      </c>
    </row>
    <row r="27" spans="1:14" s="200" customFormat="1" ht="27.75" customHeight="1" thickBot="1" x14ac:dyDescent="0.3">
      <c r="A27" s="209" t="s">
        <v>463</v>
      </c>
      <c r="B27" s="210">
        <f>SUM(B19:B26)</f>
        <v>1793140</v>
      </c>
      <c r="C27" s="210">
        <f t="shared" ref="C27:M27" si="3">SUM(C19:C26)</f>
        <v>3530898</v>
      </c>
      <c r="D27" s="210">
        <f t="shared" si="3"/>
        <v>3841503</v>
      </c>
      <c r="E27" s="210">
        <f t="shared" si="3"/>
        <v>1785322</v>
      </c>
      <c r="F27" s="210">
        <f t="shared" si="3"/>
        <v>3088052</v>
      </c>
      <c r="G27" s="210">
        <f t="shared" si="3"/>
        <v>14042330</v>
      </c>
      <c r="H27" s="210">
        <f t="shared" si="3"/>
        <v>3049062</v>
      </c>
      <c r="I27" s="210">
        <f t="shared" si="3"/>
        <v>2844231</v>
      </c>
      <c r="J27" s="210">
        <f t="shared" si="3"/>
        <v>3947792</v>
      </c>
      <c r="K27" s="210">
        <f t="shared" si="3"/>
        <v>4400646</v>
      </c>
      <c r="L27" s="210">
        <f t="shared" si="3"/>
        <v>4773432</v>
      </c>
      <c r="M27" s="210">
        <f t="shared" si="3"/>
        <v>11512170</v>
      </c>
      <c r="N27" s="875">
        <f>SUM(N19:N26)</f>
        <v>58608578</v>
      </c>
    </row>
    <row r="28" spans="1:14" s="200" customFormat="1" x14ac:dyDescent="0.25">
      <c r="A28" s="198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</row>
    <row r="29" spans="1:14" s="200" customFormat="1" ht="47.25" x14ac:dyDescent="0.25">
      <c r="A29" s="469" t="s">
        <v>467</v>
      </c>
      <c r="B29" s="470">
        <v>788609</v>
      </c>
      <c r="C29" s="470">
        <f>+B31</f>
        <v>1805209</v>
      </c>
      <c r="D29" s="470">
        <f t="shared" ref="D29:M29" si="4">+C31</f>
        <v>4416003</v>
      </c>
      <c r="E29" s="470">
        <f t="shared" si="4"/>
        <v>7761735</v>
      </c>
      <c r="F29" s="470">
        <f>+E31</f>
        <v>8211622</v>
      </c>
      <c r="G29" s="470">
        <f t="shared" si="4"/>
        <v>7179568</v>
      </c>
      <c r="H29" s="470">
        <f t="shared" si="4"/>
        <v>3722538</v>
      </c>
      <c r="I29" s="470">
        <f t="shared" si="4"/>
        <v>2180335</v>
      </c>
      <c r="J29" s="470">
        <f t="shared" si="4"/>
        <v>2412530</v>
      </c>
      <c r="K29" s="470">
        <f t="shared" si="4"/>
        <v>6997591</v>
      </c>
      <c r="L29" s="470">
        <f t="shared" si="4"/>
        <v>5237972</v>
      </c>
      <c r="M29" s="470">
        <f t="shared" si="4"/>
        <v>3323210</v>
      </c>
      <c r="N29" s="470"/>
    </row>
    <row r="30" spans="1:14" s="200" customFormat="1" ht="31.5" x14ac:dyDescent="0.25">
      <c r="A30" s="469" t="s">
        <v>71</v>
      </c>
      <c r="B30" s="470">
        <f t="shared" ref="B30:M30" si="5">+B16-B27</f>
        <v>1016600</v>
      </c>
      <c r="C30" s="470">
        <f t="shared" si="5"/>
        <v>2610794</v>
      </c>
      <c r="D30" s="470">
        <f t="shared" si="5"/>
        <v>3345732</v>
      </c>
      <c r="E30" s="470">
        <f t="shared" si="5"/>
        <v>449887</v>
      </c>
      <c r="F30" s="470">
        <f t="shared" si="5"/>
        <v>-1032054</v>
      </c>
      <c r="G30" s="470">
        <f t="shared" si="5"/>
        <v>-3457030</v>
      </c>
      <c r="H30" s="470">
        <f t="shared" si="5"/>
        <v>-1542203</v>
      </c>
      <c r="I30" s="470">
        <f t="shared" si="5"/>
        <v>232195</v>
      </c>
      <c r="J30" s="470">
        <f t="shared" si="5"/>
        <v>4585061</v>
      </c>
      <c r="K30" s="470">
        <f t="shared" si="5"/>
        <v>-1759619</v>
      </c>
      <c r="L30" s="470">
        <f t="shared" si="5"/>
        <v>-1914762</v>
      </c>
      <c r="M30" s="470">
        <f t="shared" si="5"/>
        <v>-2534601</v>
      </c>
      <c r="N30" s="470"/>
    </row>
    <row r="31" spans="1:14" s="200" customFormat="1" ht="47.25" x14ac:dyDescent="0.25">
      <c r="A31" s="469" t="s">
        <v>72</v>
      </c>
      <c r="B31" s="470">
        <f>+B29+B30</f>
        <v>1805209</v>
      </c>
      <c r="C31" s="470">
        <f>+C29+C30</f>
        <v>4416003</v>
      </c>
      <c r="D31" s="470">
        <f t="shared" ref="D31:M31" si="6">+D29+D30</f>
        <v>7761735</v>
      </c>
      <c r="E31" s="470">
        <f t="shared" si="6"/>
        <v>8211622</v>
      </c>
      <c r="F31" s="470">
        <f t="shared" si="6"/>
        <v>7179568</v>
      </c>
      <c r="G31" s="470">
        <f t="shared" si="6"/>
        <v>3722538</v>
      </c>
      <c r="H31" s="470">
        <f t="shared" si="6"/>
        <v>2180335</v>
      </c>
      <c r="I31" s="470">
        <f t="shared" si="6"/>
        <v>2412530</v>
      </c>
      <c r="J31" s="470">
        <f t="shared" si="6"/>
        <v>6997591</v>
      </c>
      <c r="K31" s="470">
        <f t="shared" si="6"/>
        <v>5237972</v>
      </c>
      <c r="L31" s="470">
        <f t="shared" si="6"/>
        <v>3323210</v>
      </c>
      <c r="M31" s="470">
        <f t="shared" si="6"/>
        <v>788609</v>
      </c>
      <c r="N31" s="471"/>
    </row>
    <row r="33" spans="1:14" x14ac:dyDescent="0.25"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</row>
    <row r="34" spans="1:14" x14ac:dyDescent="0.25">
      <c r="A34" s="201" t="s">
        <v>464</v>
      </c>
    </row>
    <row r="37" spans="1:14" x14ac:dyDescent="0.25">
      <c r="A37" s="212"/>
      <c r="B37" s="211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</row>
    <row r="39" spans="1:14" x14ac:dyDescent="0.25">
      <c r="A39" s="212"/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</row>
    <row r="40" spans="1:14" x14ac:dyDescent="0.25">
      <c r="A40" s="367"/>
      <c r="B40" s="368"/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8"/>
    </row>
  </sheetData>
  <mergeCells count="2">
    <mergeCell ref="A1:N1"/>
    <mergeCell ref="A2:N2"/>
  </mergeCells>
  <pageMargins left="0.51181102362204722" right="0.51181102362204722" top="0.55118110236220474" bottom="0.35433070866141736" header="0.31496062992125984" footer="0.31496062992125984"/>
  <pageSetup paperSize="9" scale="68" orientation="landscape" r:id="rId1"/>
  <headerFooter>
    <oddHeader>&amp;C&amp;"Times New Roman CE,Félkövér"
&amp;R&amp;"Times New Roman CE,Félkövér"&amp;11 15. melléklet a 28/2016.(VI.24.) önkormányzati rendelethez&amp;12
&amp;"Times New Roman CE,Dőlt"&amp;10 18. melléklet
a 3/2016.(II.12.) önkormányzati rendelethez</oddHeader>
  </headerFooter>
  <colBreaks count="1" manualBreakCount="1">
    <brk id="1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3"/>
  <sheetViews>
    <sheetView zoomScaleNormal="100" workbookViewId="0">
      <selection activeCell="M14" sqref="M14"/>
    </sheetView>
  </sheetViews>
  <sheetFormatPr defaultRowHeight="12.75" x14ac:dyDescent="0.2"/>
  <cols>
    <col min="1" max="1" width="4.375" style="878" customWidth="1"/>
    <col min="2" max="2" width="26" style="879" customWidth="1"/>
    <col min="3" max="3" width="14.25" style="880" customWidth="1"/>
    <col min="4" max="4" width="7.5" style="878" customWidth="1"/>
    <col min="5" max="5" width="8.625" style="878" customWidth="1"/>
    <col min="6" max="6" width="8.125" style="878" customWidth="1"/>
    <col min="7" max="7" width="8.625" style="878" customWidth="1"/>
    <col min="8" max="8" width="9" style="878" customWidth="1"/>
    <col min="9" max="9" width="7.5" style="878" customWidth="1"/>
    <col min="10" max="10" width="8.625" style="878" customWidth="1"/>
    <col min="11" max="11" width="8.125" style="878" customWidth="1"/>
    <col min="12" max="12" width="7.875" style="878" customWidth="1"/>
    <col min="13" max="13" width="9" style="878" customWidth="1"/>
    <col min="14" max="14" width="7.5" style="878" customWidth="1"/>
    <col min="15" max="15" width="8.625" style="878" customWidth="1"/>
    <col min="16" max="16" width="8.125" style="878" customWidth="1"/>
    <col min="17" max="17" width="6.5" style="878" customWidth="1"/>
    <col min="18" max="18" width="9" style="878" customWidth="1"/>
    <col min="19" max="21" width="14.25" style="878" customWidth="1"/>
    <col min="22" max="16384" width="9" style="878"/>
  </cols>
  <sheetData>
    <row r="2" spans="1:21" x14ac:dyDescent="0.2">
      <c r="S2" s="881"/>
      <c r="T2" s="881"/>
      <c r="U2" s="881"/>
    </row>
    <row r="3" spans="1:21" ht="15.75" x14ac:dyDescent="0.25">
      <c r="A3" s="998" t="s">
        <v>1008</v>
      </c>
      <c r="B3" s="998"/>
      <c r="C3" s="998"/>
      <c r="D3" s="998"/>
      <c r="E3" s="998"/>
      <c r="F3" s="998"/>
      <c r="G3" s="998"/>
      <c r="H3" s="998"/>
      <c r="I3" s="998"/>
      <c r="J3" s="998"/>
      <c r="K3" s="998"/>
      <c r="L3" s="998"/>
      <c r="M3" s="998"/>
      <c r="N3" s="998"/>
      <c r="O3" s="998"/>
      <c r="P3" s="998"/>
      <c r="Q3" s="998"/>
      <c r="R3" s="998"/>
      <c r="S3" s="998"/>
      <c r="T3" s="998"/>
      <c r="U3" s="998"/>
    </row>
    <row r="4" spans="1:21" ht="15.75" x14ac:dyDescent="0.25">
      <c r="A4" s="998" t="s">
        <v>1009</v>
      </c>
      <c r="B4" s="998"/>
      <c r="C4" s="998"/>
      <c r="D4" s="998"/>
      <c r="E4" s="998"/>
      <c r="F4" s="998"/>
      <c r="G4" s="998"/>
      <c r="H4" s="998"/>
      <c r="I4" s="998"/>
      <c r="J4" s="998"/>
      <c r="K4" s="998"/>
      <c r="L4" s="998"/>
      <c r="M4" s="998"/>
      <c r="N4" s="998"/>
      <c r="O4" s="998"/>
      <c r="P4" s="998"/>
      <c r="Q4" s="998"/>
      <c r="R4" s="998"/>
      <c r="S4" s="998"/>
      <c r="T4" s="998"/>
      <c r="U4" s="998"/>
    </row>
    <row r="5" spans="1:21" ht="13.5" thickBot="1" x14ac:dyDescent="0.25"/>
    <row r="6" spans="1:21" s="882" customFormat="1" ht="13.5" thickBot="1" x14ac:dyDescent="0.25">
      <c r="A6" s="999" t="s">
        <v>1010</v>
      </c>
      <c r="B6" s="1002" t="s">
        <v>1011</v>
      </c>
      <c r="C6" s="1005" t="s">
        <v>1012</v>
      </c>
      <c r="D6" s="996" t="s">
        <v>1013</v>
      </c>
      <c r="E6" s="996"/>
      <c r="F6" s="996"/>
      <c r="G6" s="996"/>
      <c r="H6" s="996"/>
      <c r="I6" s="996" t="s">
        <v>1014</v>
      </c>
      <c r="J6" s="996"/>
      <c r="K6" s="996"/>
      <c r="L6" s="996"/>
      <c r="M6" s="996"/>
      <c r="N6" s="996" t="s">
        <v>1015</v>
      </c>
      <c r="O6" s="996"/>
      <c r="P6" s="996"/>
      <c r="Q6" s="996"/>
      <c r="R6" s="996"/>
      <c r="S6" s="999" t="s">
        <v>1013</v>
      </c>
      <c r="T6" s="999" t="s">
        <v>1014</v>
      </c>
      <c r="U6" s="999" t="s">
        <v>1015</v>
      </c>
    </row>
    <row r="7" spans="1:21" s="882" customFormat="1" ht="27" customHeight="1" thickBot="1" x14ac:dyDescent="0.25">
      <c r="A7" s="1000"/>
      <c r="B7" s="1003"/>
      <c r="C7" s="1006"/>
      <c r="D7" s="997" t="s">
        <v>1016</v>
      </c>
      <c r="E7" s="997"/>
      <c r="F7" s="996" t="s">
        <v>1017</v>
      </c>
      <c r="G7" s="996"/>
      <c r="H7" s="996"/>
      <c r="I7" s="997" t="s">
        <v>1016</v>
      </c>
      <c r="J7" s="997"/>
      <c r="K7" s="996" t="s">
        <v>1017</v>
      </c>
      <c r="L7" s="996"/>
      <c r="M7" s="996"/>
      <c r="N7" s="997" t="s">
        <v>1016</v>
      </c>
      <c r="O7" s="997"/>
      <c r="P7" s="996" t="s">
        <v>1017</v>
      </c>
      <c r="Q7" s="996"/>
      <c r="R7" s="996"/>
      <c r="S7" s="1001"/>
      <c r="T7" s="1001"/>
      <c r="U7" s="1001"/>
    </row>
    <row r="8" spans="1:21" s="885" customFormat="1" ht="45.75" customHeight="1" thickBot="1" x14ac:dyDescent="0.25">
      <c r="A8" s="1001"/>
      <c r="B8" s="1004"/>
      <c r="C8" s="1007"/>
      <c r="D8" s="883" t="s">
        <v>1018</v>
      </c>
      <c r="E8" s="883" t="s">
        <v>191</v>
      </c>
      <c r="F8" s="883" t="s">
        <v>1019</v>
      </c>
      <c r="G8" s="883" t="s">
        <v>1020</v>
      </c>
      <c r="H8" s="883" t="s">
        <v>191</v>
      </c>
      <c r="I8" s="883" t="s">
        <v>1018</v>
      </c>
      <c r="J8" s="883" t="s">
        <v>191</v>
      </c>
      <c r="K8" s="883" t="s">
        <v>1019</v>
      </c>
      <c r="L8" s="883" t="s">
        <v>1020</v>
      </c>
      <c r="M8" s="883" t="s">
        <v>191</v>
      </c>
      <c r="N8" s="883" t="s">
        <v>1018</v>
      </c>
      <c r="O8" s="883" t="s">
        <v>191</v>
      </c>
      <c r="P8" s="883" t="s">
        <v>1019</v>
      </c>
      <c r="Q8" s="883" t="s">
        <v>1020</v>
      </c>
      <c r="R8" s="883" t="s">
        <v>191</v>
      </c>
      <c r="S8" s="884" t="s">
        <v>1021</v>
      </c>
      <c r="T8" s="884" t="s">
        <v>1021</v>
      </c>
      <c r="U8" s="884" t="s">
        <v>1021</v>
      </c>
    </row>
    <row r="9" spans="1:21" ht="25.5" x14ac:dyDescent="0.2">
      <c r="A9" s="886" t="s">
        <v>192</v>
      </c>
      <c r="B9" s="887" t="s">
        <v>1022</v>
      </c>
      <c r="C9" s="888" t="s">
        <v>1023</v>
      </c>
      <c r="D9" s="889">
        <v>317</v>
      </c>
      <c r="E9" s="890">
        <f t="shared" ref="E9:E15" si="0">SUM(D9:D9)</f>
        <v>317</v>
      </c>
      <c r="F9" s="890">
        <v>0</v>
      </c>
      <c r="G9" s="890">
        <v>0</v>
      </c>
      <c r="H9" s="891">
        <f t="shared" ref="H9:H15" si="1">SUM(F9:G9)</f>
        <v>0</v>
      </c>
      <c r="I9" s="889"/>
      <c r="J9" s="890">
        <f t="shared" ref="J9:J15" si="2">SUM(I9:I9)</f>
        <v>0</v>
      </c>
      <c r="K9" s="890"/>
      <c r="L9" s="890"/>
      <c r="M9" s="891">
        <f t="shared" ref="M9:M15" si="3">SUM(K9:L9)</f>
        <v>0</v>
      </c>
      <c r="N9" s="889"/>
      <c r="O9" s="890">
        <f t="shared" ref="O9:O15" si="4">SUM(N9:N9)</f>
        <v>0</v>
      </c>
      <c r="P9" s="890"/>
      <c r="Q9" s="890"/>
      <c r="R9" s="891">
        <f t="shared" ref="R9:R15" si="5">SUM(P9:Q9)</f>
        <v>0</v>
      </c>
      <c r="S9" s="892">
        <f t="shared" ref="S9:S15" si="6">SUM(E9+H9)</f>
        <v>317</v>
      </c>
      <c r="T9" s="892">
        <f t="shared" ref="T9:T29" si="7">SUM(J9+M9)</f>
        <v>0</v>
      </c>
      <c r="U9" s="892">
        <f t="shared" ref="U9:U29" si="8">SUM(O9+R9)</f>
        <v>0</v>
      </c>
    </row>
    <row r="10" spans="1:21" ht="25.5" x14ac:dyDescent="0.2">
      <c r="A10" s="886" t="s">
        <v>193</v>
      </c>
      <c r="B10" s="887" t="s">
        <v>1024</v>
      </c>
      <c r="C10" s="888" t="s">
        <v>1023</v>
      </c>
      <c r="D10" s="889">
        <v>305</v>
      </c>
      <c r="E10" s="890">
        <f t="shared" si="0"/>
        <v>305</v>
      </c>
      <c r="F10" s="890">
        <v>0</v>
      </c>
      <c r="G10" s="890">
        <v>0</v>
      </c>
      <c r="H10" s="891">
        <f t="shared" si="1"/>
        <v>0</v>
      </c>
      <c r="I10" s="889"/>
      <c r="J10" s="890">
        <f t="shared" si="2"/>
        <v>0</v>
      </c>
      <c r="K10" s="890"/>
      <c r="L10" s="890"/>
      <c r="M10" s="891">
        <f t="shared" si="3"/>
        <v>0</v>
      </c>
      <c r="N10" s="889"/>
      <c r="O10" s="890">
        <f t="shared" si="4"/>
        <v>0</v>
      </c>
      <c r="P10" s="890"/>
      <c r="Q10" s="890"/>
      <c r="R10" s="891">
        <f t="shared" si="5"/>
        <v>0</v>
      </c>
      <c r="S10" s="892">
        <f t="shared" si="6"/>
        <v>305</v>
      </c>
      <c r="T10" s="892">
        <f t="shared" si="7"/>
        <v>0</v>
      </c>
      <c r="U10" s="892">
        <f t="shared" si="8"/>
        <v>0</v>
      </c>
    </row>
    <row r="11" spans="1:21" ht="25.5" x14ac:dyDescent="0.2">
      <c r="A11" s="893" t="s">
        <v>194</v>
      </c>
      <c r="B11" s="894" t="s">
        <v>422</v>
      </c>
      <c r="C11" s="888" t="s">
        <v>1023</v>
      </c>
      <c r="D11" s="895">
        <v>17618</v>
      </c>
      <c r="E11" s="890">
        <f t="shared" si="0"/>
        <v>17618</v>
      </c>
      <c r="F11" s="895">
        <v>0</v>
      </c>
      <c r="G11" s="895">
        <v>0</v>
      </c>
      <c r="H11" s="891">
        <f t="shared" si="1"/>
        <v>0</v>
      </c>
      <c r="I11" s="895"/>
      <c r="J11" s="890">
        <f t="shared" si="2"/>
        <v>0</v>
      </c>
      <c r="K11" s="895"/>
      <c r="L11" s="895"/>
      <c r="M11" s="891">
        <f t="shared" si="3"/>
        <v>0</v>
      </c>
      <c r="N11" s="895"/>
      <c r="O11" s="890">
        <f t="shared" si="4"/>
        <v>0</v>
      </c>
      <c r="P11" s="895"/>
      <c r="Q11" s="895"/>
      <c r="R11" s="891">
        <f t="shared" si="5"/>
        <v>0</v>
      </c>
      <c r="S11" s="892">
        <f t="shared" si="6"/>
        <v>17618</v>
      </c>
      <c r="T11" s="892">
        <f t="shared" si="7"/>
        <v>0</v>
      </c>
      <c r="U11" s="892">
        <f t="shared" si="8"/>
        <v>0</v>
      </c>
    </row>
    <row r="12" spans="1:21" ht="25.5" x14ac:dyDescent="0.2">
      <c r="A12" s="893" t="s">
        <v>195</v>
      </c>
      <c r="B12" s="894" t="s">
        <v>1025</v>
      </c>
      <c r="C12" s="888" t="s">
        <v>1023</v>
      </c>
      <c r="D12" s="895">
        <v>524</v>
      </c>
      <c r="E12" s="890">
        <f t="shared" ref="E12:E13" si="9">SUM(D12:D12)</f>
        <v>524</v>
      </c>
      <c r="F12" s="895">
        <v>0</v>
      </c>
      <c r="G12" s="895">
        <v>0</v>
      </c>
      <c r="H12" s="891">
        <f t="shared" ref="H12:H13" si="10">SUM(F12:G12)</f>
        <v>0</v>
      </c>
      <c r="I12" s="895"/>
      <c r="J12" s="890">
        <f t="shared" ref="J12:J13" si="11">SUM(I12:I12)</f>
        <v>0</v>
      </c>
      <c r="K12" s="895"/>
      <c r="L12" s="895"/>
      <c r="M12" s="891">
        <f t="shared" ref="M12:M13" si="12">SUM(K12:L12)</f>
        <v>0</v>
      </c>
      <c r="N12" s="895"/>
      <c r="O12" s="890">
        <f t="shared" ref="O12:O13" si="13">SUM(N12:N12)</f>
        <v>0</v>
      </c>
      <c r="P12" s="895"/>
      <c r="Q12" s="895"/>
      <c r="R12" s="891">
        <f t="shared" ref="R12:R13" si="14">SUM(P12:Q12)</f>
        <v>0</v>
      </c>
      <c r="S12" s="892">
        <f t="shared" ref="S12:S13" si="15">SUM(E12+H12)</f>
        <v>524</v>
      </c>
      <c r="T12" s="892">
        <f t="shared" si="7"/>
        <v>0</v>
      </c>
      <c r="U12" s="892">
        <f t="shared" si="8"/>
        <v>0</v>
      </c>
    </row>
    <row r="13" spans="1:21" ht="51" x14ac:dyDescent="0.2">
      <c r="A13" s="886" t="s">
        <v>196</v>
      </c>
      <c r="B13" s="894" t="s">
        <v>1026</v>
      </c>
      <c r="C13" s="896" t="s">
        <v>1027</v>
      </c>
      <c r="D13" s="895">
        <v>681</v>
      </c>
      <c r="E13" s="890">
        <f t="shared" si="9"/>
        <v>681</v>
      </c>
      <c r="F13" s="895">
        <v>0</v>
      </c>
      <c r="G13" s="895">
        <v>12940</v>
      </c>
      <c r="H13" s="891">
        <f t="shared" si="10"/>
        <v>12940</v>
      </c>
      <c r="I13" s="895"/>
      <c r="J13" s="890">
        <f t="shared" si="11"/>
        <v>0</v>
      </c>
      <c r="K13" s="895"/>
      <c r="L13" s="895"/>
      <c r="M13" s="891">
        <f t="shared" si="12"/>
        <v>0</v>
      </c>
      <c r="N13" s="895"/>
      <c r="O13" s="890">
        <f t="shared" si="13"/>
        <v>0</v>
      </c>
      <c r="P13" s="895"/>
      <c r="Q13" s="895"/>
      <c r="R13" s="891">
        <f t="shared" si="14"/>
        <v>0</v>
      </c>
      <c r="S13" s="892">
        <f t="shared" si="15"/>
        <v>13621</v>
      </c>
      <c r="T13" s="892">
        <f t="shared" si="7"/>
        <v>0</v>
      </c>
      <c r="U13" s="892">
        <f t="shared" si="8"/>
        <v>0</v>
      </c>
    </row>
    <row r="14" spans="1:21" ht="76.5" x14ac:dyDescent="0.2">
      <c r="A14" s="886" t="s">
        <v>197</v>
      </c>
      <c r="B14" s="894" t="s">
        <v>1028</v>
      </c>
      <c r="C14" s="896" t="s">
        <v>1027</v>
      </c>
      <c r="D14" s="895">
        <v>384169</v>
      </c>
      <c r="E14" s="890">
        <f t="shared" si="0"/>
        <v>384169</v>
      </c>
      <c r="F14" s="895">
        <v>0</v>
      </c>
      <c r="G14" s="895">
        <f>8567250</f>
        <v>8567250</v>
      </c>
      <c r="H14" s="891">
        <f t="shared" si="1"/>
        <v>8567250</v>
      </c>
      <c r="I14" s="895">
        <v>0</v>
      </c>
      <c r="J14" s="890">
        <f t="shared" si="2"/>
        <v>0</v>
      </c>
      <c r="K14" s="895"/>
      <c r="L14" s="895"/>
      <c r="M14" s="891">
        <f t="shared" si="3"/>
        <v>0</v>
      </c>
      <c r="N14" s="895"/>
      <c r="O14" s="890">
        <f t="shared" si="4"/>
        <v>0</v>
      </c>
      <c r="P14" s="895"/>
      <c r="Q14" s="895"/>
      <c r="R14" s="891">
        <f t="shared" si="5"/>
        <v>0</v>
      </c>
      <c r="S14" s="892">
        <f t="shared" si="6"/>
        <v>8951419</v>
      </c>
      <c r="T14" s="892">
        <f t="shared" si="7"/>
        <v>0</v>
      </c>
      <c r="U14" s="892">
        <f t="shared" si="8"/>
        <v>0</v>
      </c>
    </row>
    <row r="15" spans="1:21" ht="76.5" x14ac:dyDescent="0.2">
      <c r="A15" s="886" t="s">
        <v>198</v>
      </c>
      <c r="B15" s="894" t="s">
        <v>1029</v>
      </c>
      <c r="C15" s="896" t="s">
        <v>1027</v>
      </c>
      <c r="D15" s="895">
        <v>-16533</v>
      </c>
      <c r="E15" s="890">
        <f t="shared" si="0"/>
        <v>-16533</v>
      </c>
      <c r="F15" s="895"/>
      <c r="G15" s="895">
        <v>2850000</v>
      </c>
      <c r="H15" s="891">
        <f t="shared" si="1"/>
        <v>2850000</v>
      </c>
      <c r="I15" s="895"/>
      <c r="J15" s="890">
        <f t="shared" si="2"/>
        <v>0</v>
      </c>
      <c r="K15" s="895"/>
      <c r="L15" s="895"/>
      <c r="M15" s="891">
        <f t="shared" si="3"/>
        <v>0</v>
      </c>
      <c r="N15" s="895"/>
      <c r="O15" s="890">
        <f t="shared" si="4"/>
        <v>0</v>
      </c>
      <c r="P15" s="895"/>
      <c r="Q15" s="895"/>
      <c r="R15" s="891">
        <f t="shared" si="5"/>
        <v>0</v>
      </c>
      <c r="S15" s="892">
        <f t="shared" si="6"/>
        <v>2833467</v>
      </c>
      <c r="T15" s="892">
        <f t="shared" si="7"/>
        <v>0</v>
      </c>
      <c r="U15" s="892">
        <f t="shared" si="8"/>
        <v>0</v>
      </c>
    </row>
    <row r="16" spans="1:21" ht="38.25" x14ac:dyDescent="0.2">
      <c r="A16" s="886" t="s">
        <v>199</v>
      </c>
      <c r="B16" s="894" t="s">
        <v>1196</v>
      </c>
      <c r="C16" s="896" t="s">
        <v>1030</v>
      </c>
      <c r="D16" s="895">
        <v>0</v>
      </c>
      <c r="E16" s="890">
        <f>SUM(D16:D16)</f>
        <v>0</v>
      </c>
      <c r="F16" s="895">
        <v>58991</v>
      </c>
      <c r="G16" s="895"/>
      <c r="H16" s="891">
        <f>SUM(F16:G16)</f>
        <v>58991</v>
      </c>
      <c r="I16" s="895"/>
      <c r="J16" s="890">
        <f t="shared" ref="J16" si="16">SUM(I16:I16)</f>
        <v>0</v>
      </c>
      <c r="K16" s="895"/>
      <c r="L16" s="895"/>
      <c r="M16" s="891">
        <f t="shared" ref="M16" si="17">SUM(K16:L16)</f>
        <v>0</v>
      </c>
      <c r="N16" s="895"/>
      <c r="O16" s="890">
        <f t="shared" ref="O16" si="18">SUM(N16:N16)</f>
        <v>0</v>
      </c>
      <c r="P16" s="895"/>
      <c r="Q16" s="895"/>
      <c r="R16" s="891">
        <f t="shared" ref="R16" si="19">SUM(P16:Q16)</f>
        <v>0</v>
      </c>
      <c r="S16" s="892">
        <f t="shared" ref="S16" si="20">SUM(E16+H16)</f>
        <v>58991</v>
      </c>
      <c r="T16" s="892">
        <f t="shared" ref="T16" si="21">SUM(J16+M16)</f>
        <v>0</v>
      </c>
      <c r="U16" s="892">
        <f t="shared" ref="U16" si="22">SUM(O16+R16)</f>
        <v>0</v>
      </c>
    </row>
    <row r="17" spans="1:21" s="916" customFormat="1" ht="51" x14ac:dyDescent="0.2">
      <c r="A17" s="886" t="s">
        <v>200</v>
      </c>
      <c r="B17" s="894" t="s">
        <v>526</v>
      </c>
      <c r="C17" s="896" t="s">
        <v>1030</v>
      </c>
      <c r="D17" s="912">
        <v>222250</v>
      </c>
      <c r="E17" s="913">
        <f t="shared" ref="E17:E29" si="23">SUM(D17:D17)</f>
        <v>222250</v>
      </c>
      <c r="F17" s="912">
        <v>0</v>
      </c>
      <c r="G17" s="912">
        <v>286740</v>
      </c>
      <c r="H17" s="914">
        <f t="shared" ref="H17:H29" si="24">SUM(F17:G17)</f>
        <v>286740</v>
      </c>
      <c r="I17" s="912"/>
      <c r="J17" s="913">
        <f t="shared" ref="J17:J29" si="25">SUM(I17:I17)</f>
        <v>0</v>
      </c>
      <c r="K17" s="912"/>
      <c r="L17" s="912"/>
      <c r="M17" s="914">
        <f t="shared" ref="M17:M29" si="26">SUM(K17:L17)</f>
        <v>0</v>
      </c>
      <c r="N17" s="912"/>
      <c r="O17" s="913">
        <f t="shared" ref="O17:O29" si="27">SUM(N17:N17)</f>
        <v>0</v>
      </c>
      <c r="P17" s="912"/>
      <c r="Q17" s="912"/>
      <c r="R17" s="914">
        <f t="shared" ref="R17:R29" si="28">SUM(P17:Q17)</f>
        <v>0</v>
      </c>
      <c r="S17" s="915">
        <f t="shared" ref="S17:S29" si="29">SUM(E17+H17)</f>
        <v>508990</v>
      </c>
      <c r="T17" s="915">
        <f t="shared" si="7"/>
        <v>0</v>
      </c>
      <c r="U17" s="915">
        <f t="shared" si="8"/>
        <v>0</v>
      </c>
    </row>
    <row r="18" spans="1:21" ht="25.5" x14ac:dyDescent="0.2">
      <c r="A18" s="886" t="s">
        <v>0</v>
      </c>
      <c r="B18" s="894" t="s">
        <v>527</v>
      </c>
      <c r="C18" s="896" t="s">
        <v>1030</v>
      </c>
      <c r="D18" s="895">
        <v>0</v>
      </c>
      <c r="E18" s="890">
        <f t="shared" si="23"/>
        <v>0</v>
      </c>
      <c r="F18" s="895">
        <v>0</v>
      </c>
      <c r="G18" s="895">
        <v>400000</v>
      </c>
      <c r="H18" s="891">
        <f t="shared" si="24"/>
        <v>400000</v>
      </c>
      <c r="I18" s="895"/>
      <c r="J18" s="890">
        <f t="shared" si="25"/>
        <v>0</v>
      </c>
      <c r="K18" s="895"/>
      <c r="L18" s="895"/>
      <c r="M18" s="891">
        <f t="shared" si="26"/>
        <v>0</v>
      </c>
      <c r="N18" s="895"/>
      <c r="O18" s="890">
        <f t="shared" si="27"/>
        <v>0</v>
      </c>
      <c r="P18" s="895"/>
      <c r="Q18" s="895"/>
      <c r="R18" s="891">
        <f t="shared" si="28"/>
        <v>0</v>
      </c>
      <c r="S18" s="892">
        <f t="shared" si="29"/>
        <v>400000</v>
      </c>
      <c r="T18" s="892">
        <f t="shared" si="7"/>
        <v>0</v>
      </c>
      <c r="U18" s="892">
        <f t="shared" si="8"/>
        <v>0</v>
      </c>
    </row>
    <row r="19" spans="1:21" ht="25.5" x14ac:dyDescent="0.2">
      <c r="A19" s="886" t="s">
        <v>1</v>
      </c>
      <c r="B19" s="894" t="s">
        <v>524</v>
      </c>
      <c r="C19" s="896" t="s">
        <v>1030</v>
      </c>
      <c r="D19" s="895">
        <v>0</v>
      </c>
      <c r="E19" s="890">
        <f t="shared" si="23"/>
        <v>0</v>
      </c>
      <c r="F19" s="895">
        <v>0</v>
      </c>
      <c r="G19" s="895">
        <v>900000</v>
      </c>
      <c r="H19" s="891">
        <f t="shared" si="24"/>
        <v>900000</v>
      </c>
      <c r="I19" s="895"/>
      <c r="J19" s="890">
        <f t="shared" si="25"/>
        <v>0</v>
      </c>
      <c r="K19" s="895"/>
      <c r="L19" s="895"/>
      <c r="M19" s="891">
        <f t="shared" si="26"/>
        <v>0</v>
      </c>
      <c r="N19" s="895"/>
      <c r="O19" s="890">
        <f t="shared" si="27"/>
        <v>0</v>
      </c>
      <c r="P19" s="895"/>
      <c r="Q19" s="895"/>
      <c r="R19" s="891">
        <f t="shared" si="28"/>
        <v>0</v>
      </c>
      <c r="S19" s="892">
        <f t="shared" si="29"/>
        <v>900000</v>
      </c>
      <c r="T19" s="892">
        <f t="shared" si="7"/>
        <v>0</v>
      </c>
      <c r="U19" s="892">
        <f t="shared" si="8"/>
        <v>0</v>
      </c>
    </row>
    <row r="20" spans="1:21" ht="51" x14ac:dyDescent="0.2">
      <c r="A20" s="886" t="s">
        <v>2</v>
      </c>
      <c r="B20" s="894" t="s">
        <v>519</v>
      </c>
      <c r="C20" s="896" t="s">
        <v>1030</v>
      </c>
      <c r="D20" s="895">
        <v>0</v>
      </c>
      <c r="E20" s="890">
        <f t="shared" si="23"/>
        <v>0</v>
      </c>
      <c r="F20" s="895">
        <v>594320</v>
      </c>
      <c r="G20" s="895">
        <v>0</v>
      </c>
      <c r="H20" s="891">
        <f t="shared" si="24"/>
        <v>594320</v>
      </c>
      <c r="I20" s="895"/>
      <c r="J20" s="890">
        <f t="shared" si="25"/>
        <v>0</v>
      </c>
      <c r="K20" s="895"/>
      <c r="L20" s="895"/>
      <c r="M20" s="891">
        <f t="shared" si="26"/>
        <v>0</v>
      </c>
      <c r="N20" s="895"/>
      <c r="O20" s="890">
        <f t="shared" si="27"/>
        <v>0</v>
      </c>
      <c r="P20" s="895"/>
      <c r="Q20" s="895"/>
      <c r="R20" s="891">
        <f t="shared" si="28"/>
        <v>0</v>
      </c>
      <c r="S20" s="892">
        <f t="shared" si="29"/>
        <v>594320</v>
      </c>
      <c r="T20" s="892">
        <f t="shared" si="7"/>
        <v>0</v>
      </c>
      <c r="U20" s="892">
        <f t="shared" si="8"/>
        <v>0</v>
      </c>
    </row>
    <row r="21" spans="1:21" ht="25.5" x14ac:dyDescent="0.2">
      <c r="A21" s="886" t="s">
        <v>3</v>
      </c>
      <c r="B21" s="894" t="s">
        <v>1098</v>
      </c>
      <c r="C21" s="896" t="s">
        <v>1030</v>
      </c>
      <c r="D21" s="895">
        <v>0</v>
      </c>
      <c r="E21" s="890">
        <f t="shared" si="23"/>
        <v>0</v>
      </c>
      <c r="F21" s="895">
        <v>518000</v>
      </c>
      <c r="G21" s="895">
        <v>0</v>
      </c>
      <c r="H21" s="891">
        <f t="shared" si="24"/>
        <v>518000</v>
      </c>
      <c r="I21" s="895"/>
      <c r="J21" s="890">
        <f t="shared" si="25"/>
        <v>0</v>
      </c>
      <c r="K21" s="895"/>
      <c r="L21" s="895"/>
      <c r="M21" s="891">
        <f t="shared" si="26"/>
        <v>0</v>
      </c>
      <c r="N21" s="895"/>
      <c r="O21" s="890">
        <f t="shared" si="27"/>
        <v>0</v>
      </c>
      <c r="P21" s="895"/>
      <c r="Q21" s="895"/>
      <c r="R21" s="891">
        <f t="shared" si="28"/>
        <v>0</v>
      </c>
      <c r="S21" s="892">
        <f t="shared" si="29"/>
        <v>518000</v>
      </c>
      <c r="T21" s="892">
        <f t="shared" si="7"/>
        <v>0</v>
      </c>
      <c r="U21" s="892">
        <f t="shared" si="8"/>
        <v>0</v>
      </c>
    </row>
    <row r="22" spans="1:21" ht="51" x14ac:dyDescent="0.2">
      <c r="A22" s="886" t="s">
        <v>4</v>
      </c>
      <c r="B22" s="894" t="s">
        <v>1047</v>
      </c>
      <c r="C22" s="896" t="s">
        <v>1030</v>
      </c>
      <c r="D22" s="895">
        <v>0</v>
      </c>
      <c r="E22" s="890">
        <f t="shared" si="23"/>
        <v>0</v>
      </c>
      <c r="F22" s="895">
        <v>222662</v>
      </c>
      <c r="G22" s="895">
        <v>0</v>
      </c>
      <c r="H22" s="891">
        <f t="shared" si="24"/>
        <v>222662</v>
      </c>
      <c r="I22" s="895"/>
      <c r="J22" s="890">
        <f t="shared" si="25"/>
        <v>0</v>
      </c>
      <c r="K22" s="895"/>
      <c r="L22" s="895"/>
      <c r="M22" s="891">
        <f t="shared" si="26"/>
        <v>0</v>
      </c>
      <c r="N22" s="895"/>
      <c r="O22" s="890">
        <f t="shared" si="27"/>
        <v>0</v>
      </c>
      <c r="P22" s="895"/>
      <c r="Q22" s="895"/>
      <c r="R22" s="891">
        <f t="shared" si="28"/>
        <v>0</v>
      </c>
      <c r="S22" s="892">
        <f t="shared" si="29"/>
        <v>222662</v>
      </c>
      <c r="T22" s="892">
        <f t="shared" si="7"/>
        <v>0</v>
      </c>
      <c r="U22" s="892">
        <f t="shared" si="8"/>
        <v>0</v>
      </c>
    </row>
    <row r="23" spans="1:21" x14ac:dyDescent="0.2">
      <c r="A23" s="886" t="s">
        <v>5</v>
      </c>
      <c r="B23" s="894" t="s">
        <v>1085</v>
      </c>
      <c r="C23" s="896" t="s">
        <v>1030</v>
      </c>
      <c r="D23" s="895">
        <v>0</v>
      </c>
      <c r="E23" s="890">
        <f t="shared" si="23"/>
        <v>0</v>
      </c>
      <c r="F23" s="895">
        <v>106696</v>
      </c>
      <c r="G23" s="895">
        <v>0</v>
      </c>
      <c r="H23" s="891">
        <f t="shared" si="24"/>
        <v>106696</v>
      </c>
      <c r="I23" s="895"/>
      <c r="J23" s="890">
        <f t="shared" si="25"/>
        <v>0</v>
      </c>
      <c r="K23" s="895"/>
      <c r="L23" s="895"/>
      <c r="M23" s="891">
        <f t="shared" si="26"/>
        <v>0</v>
      </c>
      <c r="N23" s="895"/>
      <c r="O23" s="890">
        <f t="shared" si="27"/>
        <v>0</v>
      </c>
      <c r="P23" s="895"/>
      <c r="Q23" s="895"/>
      <c r="R23" s="891">
        <f t="shared" si="28"/>
        <v>0</v>
      </c>
      <c r="S23" s="892">
        <f t="shared" si="29"/>
        <v>106696</v>
      </c>
      <c r="T23" s="892">
        <f t="shared" si="7"/>
        <v>0</v>
      </c>
      <c r="U23" s="892">
        <f t="shared" si="8"/>
        <v>0</v>
      </c>
    </row>
    <row r="24" spans="1:21" ht="38.25" x14ac:dyDescent="0.2">
      <c r="A24" s="886" t="s">
        <v>6</v>
      </c>
      <c r="B24" s="894" t="s">
        <v>521</v>
      </c>
      <c r="C24" s="896" t="s">
        <v>1030</v>
      </c>
      <c r="D24" s="895">
        <v>0</v>
      </c>
      <c r="E24" s="890">
        <f t="shared" si="23"/>
        <v>0</v>
      </c>
      <c r="F24" s="895">
        <v>94000</v>
      </c>
      <c r="G24" s="895">
        <v>0</v>
      </c>
      <c r="H24" s="891">
        <f t="shared" si="24"/>
        <v>94000</v>
      </c>
      <c r="I24" s="895"/>
      <c r="J24" s="890">
        <f t="shared" si="25"/>
        <v>0</v>
      </c>
      <c r="K24" s="895"/>
      <c r="L24" s="895"/>
      <c r="M24" s="891">
        <f t="shared" si="26"/>
        <v>0</v>
      </c>
      <c r="N24" s="895"/>
      <c r="O24" s="890">
        <f t="shared" si="27"/>
        <v>0</v>
      </c>
      <c r="P24" s="895"/>
      <c r="Q24" s="895"/>
      <c r="R24" s="891">
        <f t="shared" si="28"/>
        <v>0</v>
      </c>
      <c r="S24" s="892">
        <f t="shared" si="29"/>
        <v>94000</v>
      </c>
      <c r="T24" s="892">
        <f t="shared" si="7"/>
        <v>0</v>
      </c>
      <c r="U24" s="892">
        <f t="shared" si="8"/>
        <v>0</v>
      </c>
    </row>
    <row r="25" spans="1:21" ht="38.25" x14ac:dyDescent="0.2">
      <c r="A25" s="886" t="s">
        <v>7</v>
      </c>
      <c r="B25" s="894" t="s">
        <v>1086</v>
      </c>
      <c r="C25" s="896" t="s">
        <v>1030</v>
      </c>
      <c r="D25" s="895">
        <v>0</v>
      </c>
      <c r="E25" s="890">
        <f t="shared" si="23"/>
        <v>0</v>
      </c>
      <c r="F25" s="895">
        <v>1098000</v>
      </c>
      <c r="G25" s="895">
        <v>0</v>
      </c>
      <c r="H25" s="891">
        <f t="shared" si="24"/>
        <v>1098000</v>
      </c>
      <c r="I25" s="895"/>
      <c r="J25" s="890">
        <f t="shared" ref="J25:J26" si="30">SUM(I25:I25)</f>
        <v>0</v>
      </c>
      <c r="K25" s="895"/>
      <c r="L25" s="895"/>
      <c r="M25" s="891">
        <f t="shared" ref="M25:M26" si="31">SUM(K25:L25)</f>
        <v>0</v>
      </c>
      <c r="N25" s="895"/>
      <c r="O25" s="890">
        <f t="shared" ref="O25" si="32">SUM(N25:N25)</f>
        <v>0</v>
      </c>
      <c r="P25" s="895"/>
      <c r="Q25" s="895"/>
      <c r="R25" s="891">
        <f t="shared" ref="R25" si="33">SUM(P25:Q25)</f>
        <v>0</v>
      </c>
      <c r="S25" s="892">
        <f t="shared" si="29"/>
        <v>1098000</v>
      </c>
      <c r="T25" s="892">
        <f t="shared" ref="T25" si="34">SUM(J25+M25)</f>
        <v>0</v>
      </c>
      <c r="U25" s="892">
        <f t="shared" ref="U25" si="35">SUM(O25+R25)</f>
        <v>0</v>
      </c>
    </row>
    <row r="26" spans="1:21" ht="38.25" x14ac:dyDescent="0.2">
      <c r="A26" s="886" t="s">
        <v>8</v>
      </c>
      <c r="B26" s="887" t="s">
        <v>1100</v>
      </c>
      <c r="C26" s="888" t="s">
        <v>1030</v>
      </c>
      <c r="D26" s="889">
        <v>0</v>
      </c>
      <c r="E26" s="890">
        <f t="shared" si="23"/>
        <v>0</v>
      </c>
      <c r="F26" s="889">
        <v>302353</v>
      </c>
      <c r="G26" s="889">
        <v>0</v>
      </c>
      <c r="H26" s="891">
        <f t="shared" si="24"/>
        <v>302353</v>
      </c>
      <c r="I26" s="889"/>
      <c r="J26" s="890">
        <f t="shared" si="30"/>
        <v>0</v>
      </c>
      <c r="K26" s="889"/>
      <c r="L26" s="889"/>
      <c r="M26" s="891">
        <f t="shared" si="31"/>
        <v>0</v>
      </c>
      <c r="N26" s="889"/>
      <c r="O26" s="890">
        <f t="shared" ref="O26" si="36">SUM(N26:N26)</f>
        <v>0</v>
      </c>
      <c r="P26" s="889"/>
      <c r="Q26" s="889"/>
      <c r="R26" s="891">
        <f t="shared" ref="R26" si="37">SUM(P26:Q26)</f>
        <v>0</v>
      </c>
      <c r="S26" s="892">
        <f t="shared" si="29"/>
        <v>302353</v>
      </c>
      <c r="T26" s="892">
        <f t="shared" ref="T26" si="38">SUM(J26+M26)</f>
        <v>0</v>
      </c>
      <c r="U26" s="892">
        <f t="shared" ref="U26" si="39">SUM(O26+R26)</f>
        <v>0</v>
      </c>
    </row>
    <row r="27" spans="1:21" ht="76.5" x14ac:dyDescent="0.2">
      <c r="A27" s="886" t="s">
        <v>9</v>
      </c>
      <c r="B27" s="887" t="s">
        <v>1031</v>
      </c>
      <c r="C27" s="888" t="s">
        <v>1030</v>
      </c>
      <c r="D27" s="889">
        <v>0</v>
      </c>
      <c r="E27" s="890">
        <f t="shared" si="23"/>
        <v>0</v>
      </c>
      <c r="F27" s="889">
        <v>167294</v>
      </c>
      <c r="G27" s="889">
        <v>0</v>
      </c>
      <c r="H27" s="891">
        <f t="shared" si="24"/>
        <v>167294</v>
      </c>
      <c r="I27" s="889"/>
      <c r="J27" s="890">
        <f t="shared" si="25"/>
        <v>0</v>
      </c>
      <c r="K27" s="889"/>
      <c r="L27" s="889"/>
      <c r="M27" s="891">
        <f t="shared" si="26"/>
        <v>0</v>
      </c>
      <c r="N27" s="889"/>
      <c r="O27" s="890">
        <f t="shared" si="27"/>
        <v>0</v>
      </c>
      <c r="P27" s="889"/>
      <c r="Q27" s="889"/>
      <c r="R27" s="891">
        <f t="shared" si="28"/>
        <v>0</v>
      </c>
      <c r="S27" s="892">
        <f t="shared" si="29"/>
        <v>167294</v>
      </c>
      <c r="T27" s="892">
        <f t="shared" si="7"/>
        <v>0</v>
      </c>
      <c r="U27" s="892">
        <f t="shared" si="8"/>
        <v>0</v>
      </c>
    </row>
    <row r="28" spans="1:21" ht="76.5" x14ac:dyDescent="0.2">
      <c r="A28" s="886" t="s">
        <v>10</v>
      </c>
      <c r="B28" s="887" t="s">
        <v>1032</v>
      </c>
      <c r="C28" s="888" t="s">
        <v>1030</v>
      </c>
      <c r="D28" s="889">
        <v>0</v>
      </c>
      <c r="E28" s="890">
        <f t="shared" si="23"/>
        <v>0</v>
      </c>
      <c r="F28" s="889">
        <v>141602</v>
      </c>
      <c r="G28" s="889">
        <v>0</v>
      </c>
      <c r="H28" s="891">
        <f t="shared" si="24"/>
        <v>141602</v>
      </c>
      <c r="I28" s="889"/>
      <c r="J28" s="890">
        <f t="shared" si="25"/>
        <v>0</v>
      </c>
      <c r="K28" s="889"/>
      <c r="L28" s="889"/>
      <c r="M28" s="891">
        <f t="shared" si="26"/>
        <v>0</v>
      </c>
      <c r="N28" s="889"/>
      <c r="O28" s="890">
        <f t="shared" si="27"/>
        <v>0</v>
      </c>
      <c r="P28" s="889"/>
      <c r="Q28" s="889"/>
      <c r="R28" s="891">
        <f t="shared" si="28"/>
        <v>0</v>
      </c>
      <c r="S28" s="892">
        <f t="shared" si="29"/>
        <v>141602</v>
      </c>
      <c r="T28" s="892">
        <f t="shared" si="7"/>
        <v>0</v>
      </c>
      <c r="U28" s="892">
        <f t="shared" si="8"/>
        <v>0</v>
      </c>
    </row>
    <row r="29" spans="1:21" ht="77.25" thickBot="1" x14ac:dyDescent="0.25">
      <c r="A29" s="886" t="s">
        <v>11</v>
      </c>
      <c r="B29" s="894" t="s">
        <v>1033</v>
      </c>
      <c r="C29" s="896" t="s">
        <v>1030</v>
      </c>
      <c r="D29" s="895">
        <v>0</v>
      </c>
      <c r="E29" s="890">
        <f t="shared" si="23"/>
        <v>0</v>
      </c>
      <c r="F29" s="895">
        <v>350000</v>
      </c>
      <c r="G29" s="895">
        <v>0</v>
      </c>
      <c r="H29" s="891">
        <f t="shared" si="24"/>
        <v>350000</v>
      </c>
      <c r="I29" s="895"/>
      <c r="J29" s="890">
        <f t="shared" si="25"/>
        <v>0</v>
      </c>
      <c r="K29" s="895"/>
      <c r="L29" s="895"/>
      <c r="M29" s="891">
        <f t="shared" si="26"/>
        <v>0</v>
      </c>
      <c r="N29" s="895"/>
      <c r="O29" s="890">
        <f t="shared" si="27"/>
        <v>0</v>
      </c>
      <c r="P29" s="895"/>
      <c r="Q29" s="895"/>
      <c r="R29" s="891">
        <f t="shared" si="28"/>
        <v>0</v>
      </c>
      <c r="S29" s="892">
        <f t="shared" si="29"/>
        <v>350000</v>
      </c>
      <c r="T29" s="892">
        <f t="shared" si="7"/>
        <v>0</v>
      </c>
      <c r="U29" s="892">
        <f t="shared" si="8"/>
        <v>0</v>
      </c>
    </row>
    <row r="30" spans="1:21" s="882" customFormat="1" ht="13.5" thickBot="1" x14ac:dyDescent="0.25">
      <c r="A30" s="897"/>
      <c r="B30" s="898" t="s">
        <v>1021</v>
      </c>
      <c r="C30" s="899"/>
      <c r="D30" s="900">
        <f>SUM(D9:D29)</f>
        <v>609331</v>
      </c>
      <c r="E30" s="900">
        <f t="shared" ref="E30:U30" si="40">SUM(E9:E29)</f>
        <v>609331</v>
      </c>
      <c r="F30" s="900">
        <f t="shared" si="40"/>
        <v>3653918</v>
      </c>
      <c r="G30" s="900">
        <f t="shared" si="40"/>
        <v>13016930</v>
      </c>
      <c r="H30" s="900">
        <f t="shared" si="40"/>
        <v>16670848</v>
      </c>
      <c r="I30" s="900">
        <f t="shared" si="40"/>
        <v>0</v>
      </c>
      <c r="J30" s="900">
        <f t="shared" si="40"/>
        <v>0</v>
      </c>
      <c r="K30" s="900">
        <f t="shared" si="40"/>
        <v>0</v>
      </c>
      <c r="L30" s="900">
        <f t="shared" si="40"/>
        <v>0</v>
      </c>
      <c r="M30" s="900">
        <f t="shared" si="40"/>
        <v>0</v>
      </c>
      <c r="N30" s="900">
        <f t="shared" si="40"/>
        <v>0</v>
      </c>
      <c r="O30" s="900">
        <f t="shared" si="40"/>
        <v>0</v>
      </c>
      <c r="P30" s="900">
        <f t="shared" si="40"/>
        <v>0</v>
      </c>
      <c r="Q30" s="900">
        <f t="shared" si="40"/>
        <v>0</v>
      </c>
      <c r="R30" s="900">
        <f t="shared" si="40"/>
        <v>0</v>
      </c>
      <c r="S30" s="900">
        <f t="shared" si="40"/>
        <v>17280179</v>
      </c>
      <c r="T30" s="900">
        <f t="shared" si="40"/>
        <v>0</v>
      </c>
      <c r="U30" s="900">
        <f t="shared" si="40"/>
        <v>0</v>
      </c>
    </row>
    <row r="32" spans="1:21" x14ac:dyDescent="0.2">
      <c r="A32" s="878" t="s">
        <v>1034</v>
      </c>
      <c r="B32" s="901"/>
      <c r="C32" s="902"/>
      <c r="D32" s="879"/>
      <c r="E32" s="879"/>
      <c r="F32" s="879"/>
      <c r="G32" s="879"/>
      <c r="H32" s="879"/>
      <c r="I32" s="879"/>
      <c r="J32" s="879"/>
      <c r="K32" s="879"/>
      <c r="L32" s="879"/>
      <c r="M32" s="879"/>
      <c r="N32" s="879"/>
      <c r="O32" s="879"/>
      <c r="P32" s="879"/>
      <c r="Q32" s="879"/>
      <c r="R32" s="879"/>
    </row>
    <row r="33" spans="2:18" ht="13.15" customHeight="1" x14ac:dyDescent="0.2">
      <c r="B33" s="903"/>
      <c r="D33" s="879"/>
      <c r="E33" s="879"/>
      <c r="F33" s="879"/>
      <c r="G33" s="879"/>
      <c r="H33" s="879"/>
      <c r="I33" s="879"/>
      <c r="J33" s="879"/>
      <c r="K33" s="879"/>
      <c r="L33" s="879"/>
      <c r="M33" s="879"/>
      <c r="N33" s="879"/>
      <c r="O33" s="879"/>
      <c r="P33" s="879"/>
      <c r="Q33" s="879"/>
      <c r="R33" s="879"/>
    </row>
  </sheetData>
  <mergeCells count="17">
    <mergeCell ref="I7:J7"/>
    <mergeCell ref="K7:M7"/>
    <mergeCell ref="N7:O7"/>
    <mergeCell ref="P7:R7"/>
    <mergeCell ref="A3:U3"/>
    <mergeCell ref="A4:U4"/>
    <mergeCell ref="A6:A8"/>
    <mergeCell ref="B6:B8"/>
    <mergeCell ref="C6:C8"/>
    <mergeCell ref="D6:H6"/>
    <mergeCell ref="I6:M6"/>
    <mergeCell ref="N6:R6"/>
    <mergeCell ref="S6:S7"/>
    <mergeCell ref="T6:T7"/>
    <mergeCell ref="U6:U7"/>
    <mergeCell ref="D7:E7"/>
    <mergeCell ref="F7:H7"/>
  </mergeCells>
  <printOptions horizontalCentered="1"/>
  <pageMargins left="0.19685039370078741" right="0.15748031496062992" top="0.6692913385826772" bottom="0.43307086614173229" header="0.35433070866141736" footer="0.15748031496062992"/>
  <pageSetup paperSize="9" scale="60" orientation="landscape" r:id="rId1"/>
  <headerFooter alignWithMargins="0">
    <oddHeader xml:space="preserve">&amp;R&amp;"Times New Roman CE,Félkövér" 16. melléklet a 28/2016.(VI.24.) önkormányzati rendelethez
&amp;"Times New Roman CE,Dőlt"&amp;11 20. melléklet
a 3/2016.(II.12.) önkormányzati rendelethez
</oddHeader>
    <oddFooter>&amp;C&amp;P. oldal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zoomScaleNormal="100" workbookViewId="0">
      <pane xSplit="2" ySplit="8" topLeftCell="E18" activePane="bottomRight" state="frozen"/>
      <selection activeCell="G59" sqref="G59"/>
      <selection pane="topRight" activeCell="G59" sqref="G59"/>
      <selection pane="bottomLeft" activeCell="G59" sqref="G59"/>
      <selection pane="bottomRight" activeCell="H20" sqref="H20"/>
    </sheetView>
  </sheetViews>
  <sheetFormatPr defaultRowHeight="15.75" x14ac:dyDescent="0.25"/>
  <cols>
    <col min="1" max="1" width="35.75" style="92" customWidth="1"/>
    <col min="2" max="2" width="10" style="92" customWidth="1"/>
    <col min="3" max="3" width="12.25" style="114" customWidth="1"/>
    <col min="4" max="4" width="13.125" style="114" customWidth="1"/>
    <col min="5" max="5" width="15" style="114" customWidth="1"/>
    <col min="6" max="15" width="13.75" style="114" customWidth="1"/>
    <col min="16" max="16" width="13" style="114" customWidth="1"/>
    <col min="17" max="17" width="15.25" style="114" customWidth="1"/>
    <col min="18" max="26" width="13.875" style="114" customWidth="1"/>
    <col min="27" max="27" width="12.875" style="114" customWidth="1"/>
    <col min="28" max="28" width="14.875" style="114" customWidth="1"/>
    <col min="29" max="29" width="15.375" style="114" customWidth="1"/>
    <col min="30" max="30" width="13.25" style="114" customWidth="1"/>
    <col min="31" max="31" width="12.625" style="114" customWidth="1"/>
    <col min="32" max="32" width="14.875" style="114" customWidth="1"/>
    <col min="33" max="33" width="15.375" style="114" customWidth="1"/>
    <col min="34" max="34" width="14.125" style="114" customWidth="1"/>
    <col min="35" max="35" width="13.875" style="114" customWidth="1"/>
    <col min="36" max="36" width="14.875" style="114" customWidth="1"/>
    <col min="37" max="37" width="15.375" style="114" customWidth="1"/>
    <col min="38" max="38" width="14.125" style="114" customWidth="1"/>
    <col min="39" max="16384" width="9" style="92"/>
  </cols>
  <sheetData>
    <row r="1" spans="1:38" x14ac:dyDescent="0.25">
      <c r="A1" s="568"/>
      <c r="B1" s="945" t="s">
        <v>282</v>
      </c>
      <c r="C1" s="945"/>
      <c r="D1" s="945"/>
      <c r="E1" s="945"/>
      <c r="F1" s="945"/>
      <c r="G1" s="945"/>
      <c r="H1" s="945"/>
      <c r="I1" s="945"/>
      <c r="J1" s="945"/>
      <c r="K1" s="945"/>
      <c r="L1" s="945"/>
      <c r="M1" s="945"/>
      <c r="N1" s="945"/>
      <c r="O1" s="945" t="s">
        <v>282</v>
      </c>
      <c r="P1" s="945"/>
      <c r="Q1" s="945"/>
      <c r="R1" s="945"/>
      <c r="S1" s="945"/>
      <c r="T1" s="945"/>
      <c r="U1" s="945"/>
      <c r="V1" s="945"/>
      <c r="W1" s="945"/>
      <c r="X1" s="945"/>
      <c r="Y1" s="945"/>
      <c r="Z1" s="945"/>
      <c r="AA1" s="945" t="s">
        <v>282</v>
      </c>
      <c r="AB1" s="945"/>
      <c r="AC1" s="945"/>
      <c r="AD1" s="945"/>
      <c r="AE1" s="945"/>
      <c r="AF1" s="945"/>
      <c r="AG1" s="945"/>
      <c r="AH1" s="945"/>
      <c r="AI1" s="945"/>
      <c r="AJ1" s="945"/>
      <c r="AK1" s="945"/>
      <c r="AL1" s="945"/>
    </row>
    <row r="2" spans="1:38" x14ac:dyDescent="0.25">
      <c r="A2" s="568"/>
      <c r="B2" s="945" t="s">
        <v>673</v>
      </c>
      <c r="C2" s="945"/>
      <c r="D2" s="945"/>
      <c r="E2" s="945"/>
      <c r="F2" s="945"/>
      <c r="G2" s="945"/>
      <c r="H2" s="945"/>
      <c r="I2" s="945"/>
      <c r="J2" s="945"/>
      <c r="K2" s="945"/>
      <c r="L2" s="945"/>
      <c r="M2" s="945"/>
      <c r="N2" s="945"/>
      <c r="O2" s="945" t="s">
        <v>673</v>
      </c>
      <c r="P2" s="945"/>
      <c r="Q2" s="945"/>
      <c r="R2" s="945"/>
      <c r="S2" s="945"/>
      <c r="T2" s="945"/>
      <c r="U2" s="945"/>
      <c r="V2" s="945"/>
      <c r="W2" s="945"/>
      <c r="X2" s="945"/>
      <c r="Y2" s="945"/>
      <c r="Z2" s="945"/>
      <c r="AA2" s="945" t="s">
        <v>673</v>
      </c>
      <c r="AB2" s="945"/>
      <c r="AC2" s="945"/>
      <c r="AD2" s="945"/>
      <c r="AE2" s="945"/>
      <c r="AF2" s="945"/>
      <c r="AG2" s="945"/>
      <c r="AH2" s="945"/>
      <c r="AI2" s="945"/>
      <c r="AJ2" s="945"/>
      <c r="AK2" s="945"/>
      <c r="AL2" s="945"/>
    </row>
    <row r="3" spans="1:38" x14ac:dyDescent="0.25">
      <c r="A3" s="568"/>
      <c r="B3" s="945" t="s">
        <v>944</v>
      </c>
      <c r="C3" s="945"/>
      <c r="D3" s="945"/>
      <c r="E3" s="945"/>
      <c r="F3" s="945"/>
      <c r="G3" s="945"/>
      <c r="H3" s="945"/>
      <c r="I3" s="945"/>
      <c r="J3" s="945"/>
      <c r="K3" s="945"/>
      <c r="L3" s="945"/>
      <c r="M3" s="945"/>
      <c r="N3" s="945"/>
      <c r="O3" s="945" t="s">
        <v>944</v>
      </c>
      <c r="P3" s="945"/>
      <c r="Q3" s="945"/>
      <c r="R3" s="945"/>
      <c r="S3" s="945"/>
      <c r="T3" s="945"/>
      <c r="U3" s="945"/>
      <c r="V3" s="945"/>
      <c r="W3" s="945"/>
      <c r="X3" s="945"/>
      <c r="Y3" s="945"/>
      <c r="Z3" s="945"/>
      <c r="AA3" s="945" t="s">
        <v>944</v>
      </c>
      <c r="AB3" s="945"/>
      <c r="AC3" s="945"/>
      <c r="AD3" s="945"/>
      <c r="AE3" s="945"/>
      <c r="AF3" s="945"/>
      <c r="AG3" s="945"/>
      <c r="AH3" s="945"/>
      <c r="AI3" s="945"/>
      <c r="AJ3" s="945"/>
      <c r="AK3" s="945"/>
      <c r="AL3" s="945"/>
    </row>
    <row r="4" spans="1:38" ht="16.5" thickBot="1" x14ac:dyDescent="0.3"/>
    <row r="5" spans="1:38" s="77" customFormat="1" ht="68.25" customHeight="1" thickTop="1" thickBot="1" x14ac:dyDescent="0.3">
      <c r="A5" s="75"/>
      <c r="B5" s="219"/>
      <c r="C5" s="936" t="s">
        <v>22</v>
      </c>
      <c r="D5" s="937"/>
      <c r="E5" s="937"/>
      <c r="F5" s="937"/>
      <c r="G5" s="937"/>
      <c r="H5" s="937"/>
      <c r="I5" s="937"/>
      <c r="J5" s="937"/>
      <c r="K5" s="937"/>
      <c r="L5" s="937"/>
      <c r="M5" s="937"/>
      <c r="N5" s="938"/>
      <c r="O5" s="76" t="s">
        <v>23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949" t="s">
        <v>191</v>
      </c>
      <c r="AB5" s="949"/>
      <c r="AC5" s="949"/>
      <c r="AD5" s="949"/>
      <c r="AE5" s="949"/>
      <c r="AF5" s="949"/>
      <c r="AG5" s="949"/>
      <c r="AH5" s="949"/>
      <c r="AI5" s="949"/>
      <c r="AJ5" s="949"/>
      <c r="AK5" s="949"/>
      <c r="AL5" s="949"/>
    </row>
    <row r="6" spans="1:38" s="79" customFormat="1" ht="39" customHeight="1" thickTop="1" thickBot="1" x14ac:dyDescent="0.3">
      <c r="A6" s="225" t="s">
        <v>184</v>
      </c>
      <c r="B6" s="220" t="s">
        <v>201</v>
      </c>
      <c r="C6" s="946" t="s">
        <v>653</v>
      </c>
      <c r="D6" s="947"/>
      <c r="E6" s="947"/>
      <c r="F6" s="948"/>
      <c r="G6" s="78" t="s">
        <v>654</v>
      </c>
      <c r="H6" s="78"/>
      <c r="I6" s="78"/>
      <c r="J6" s="78"/>
      <c r="K6" s="566" t="s">
        <v>835</v>
      </c>
      <c r="L6" s="566"/>
      <c r="M6" s="566"/>
      <c r="N6" s="566"/>
      <c r="O6" s="566" t="s">
        <v>653</v>
      </c>
      <c r="P6" s="567"/>
      <c r="Q6" s="567"/>
      <c r="R6" s="567"/>
      <c r="S6" s="567" t="s">
        <v>654</v>
      </c>
      <c r="T6" s="567"/>
      <c r="U6" s="567"/>
      <c r="V6" s="567"/>
      <c r="W6" s="567" t="s">
        <v>835</v>
      </c>
      <c r="X6" s="567"/>
      <c r="Y6" s="567"/>
      <c r="Z6" s="567"/>
      <c r="AA6" s="950" t="s">
        <v>653</v>
      </c>
      <c r="AB6" s="950"/>
      <c r="AC6" s="950"/>
      <c r="AD6" s="950"/>
      <c r="AE6" s="950" t="s">
        <v>654</v>
      </c>
      <c r="AF6" s="950"/>
      <c r="AG6" s="950"/>
      <c r="AH6" s="950"/>
      <c r="AI6" s="950" t="s">
        <v>835</v>
      </c>
      <c r="AJ6" s="950"/>
      <c r="AK6" s="950"/>
      <c r="AL6" s="950"/>
    </row>
    <row r="7" spans="1:38" s="7" customFormat="1" ht="33" thickTop="1" thickBot="1" x14ac:dyDescent="0.3">
      <c r="A7" s="5"/>
      <c r="B7" s="221"/>
      <c r="C7" s="6" t="s">
        <v>178</v>
      </c>
      <c r="D7" s="8" t="s">
        <v>179</v>
      </c>
      <c r="E7" s="8" t="s">
        <v>538</v>
      </c>
      <c r="F7" s="8" t="s">
        <v>191</v>
      </c>
      <c r="G7" s="537" t="s">
        <v>178</v>
      </c>
      <c r="H7" s="537" t="s">
        <v>179</v>
      </c>
      <c r="I7" s="537" t="s">
        <v>538</v>
      </c>
      <c r="J7" s="537" t="s">
        <v>191</v>
      </c>
      <c r="K7" s="8" t="s">
        <v>178</v>
      </c>
      <c r="L7" s="8" t="s">
        <v>179</v>
      </c>
      <c r="M7" s="8" t="s">
        <v>538</v>
      </c>
      <c r="N7" s="8" t="s">
        <v>191</v>
      </c>
      <c r="O7" s="8" t="s">
        <v>178</v>
      </c>
      <c r="P7" s="8" t="s">
        <v>179</v>
      </c>
      <c r="Q7" s="8" t="s">
        <v>538</v>
      </c>
      <c r="R7" s="8" t="s">
        <v>191</v>
      </c>
      <c r="S7" s="8" t="s">
        <v>178</v>
      </c>
      <c r="T7" s="8" t="s">
        <v>179</v>
      </c>
      <c r="U7" s="8" t="s">
        <v>538</v>
      </c>
      <c r="V7" s="8" t="s">
        <v>191</v>
      </c>
      <c r="W7" s="8" t="s">
        <v>178</v>
      </c>
      <c r="X7" s="8" t="s">
        <v>179</v>
      </c>
      <c r="Y7" s="8" t="s">
        <v>538</v>
      </c>
      <c r="Z7" s="8" t="s">
        <v>191</v>
      </c>
      <c r="AA7" s="8" t="s">
        <v>178</v>
      </c>
      <c r="AB7" s="8" t="s">
        <v>179</v>
      </c>
      <c r="AC7" s="8" t="s">
        <v>538</v>
      </c>
      <c r="AD7" s="8" t="s">
        <v>191</v>
      </c>
      <c r="AE7" s="8" t="s">
        <v>178</v>
      </c>
      <c r="AF7" s="8" t="s">
        <v>179</v>
      </c>
      <c r="AG7" s="8" t="s">
        <v>538</v>
      </c>
      <c r="AH7" s="8" t="s">
        <v>191</v>
      </c>
      <c r="AI7" s="8" t="s">
        <v>178</v>
      </c>
      <c r="AJ7" s="8" t="s">
        <v>179</v>
      </c>
      <c r="AK7" s="8" t="s">
        <v>538</v>
      </c>
      <c r="AL7" s="8" t="s">
        <v>191</v>
      </c>
    </row>
    <row r="8" spans="1:38" s="79" customFormat="1" ht="17.25" thickTop="1" thickBot="1" x14ac:dyDescent="0.3">
      <c r="A8" s="80" t="s">
        <v>185</v>
      </c>
      <c r="B8" s="222"/>
      <c r="C8" s="81" t="s">
        <v>664</v>
      </c>
      <c r="D8" s="82"/>
      <c r="E8" s="82"/>
      <c r="F8" s="82"/>
      <c r="G8" s="561" t="s">
        <v>665</v>
      </c>
      <c r="H8" s="562"/>
      <c r="I8" s="562"/>
      <c r="J8" s="78"/>
      <c r="K8" s="567" t="s">
        <v>666</v>
      </c>
      <c r="L8" s="567"/>
      <c r="M8" s="567"/>
      <c r="N8" s="567"/>
      <c r="O8" s="943" t="s">
        <v>667</v>
      </c>
      <c r="P8" s="943"/>
      <c r="Q8" s="943"/>
      <c r="R8" s="943"/>
      <c r="S8" s="943" t="s">
        <v>668</v>
      </c>
      <c r="T8" s="943"/>
      <c r="U8" s="943"/>
      <c r="V8" s="943"/>
      <c r="W8" s="943" t="s">
        <v>669</v>
      </c>
      <c r="X8" s="943"/>
      <c r="Y8" s="943"/>
      <c r="Z8" s="943"/>
      <c r="AA8" s="943" t="s">
        <v>670</v>
      </c>
      <c r="AB8" s="943"/>
      <c r="AC8" s="943"/>
      <c r="AD8" s="943"/>
      <c r="AE8" s="943" t="s">
        <v>671</v>
      </c>
      <c r="AF8" s="943"/>
      <c r="AG8" s="943"/>
      <c r="AH8" s="943"/>
      <c r="AI8" s="943" t="s">
        <v>672</v>
      </c>
      <c r="AJ8" s="943"/>
      <c r="AK8" s="943"/>
      <c r="AL8" s="943"/>
    </row>
    <row r="9" spans="1:38" ht="16.5" thickTop="1" x14ac:dyDescent="0.25">
      <c r="A9" s="83" t="s">
        <v>28</v>
      </c>
      <c r="B9" s="83" t="s">
        <v>202</v>
      </c>
      <c r="C9" s="84">
        <v>159363</v>
      </c>
      <c r="D9" s="85">
        <v>64171</v>
      </c>
      <c r="E9" s="85"/>
      <c r="F9" s="86">
        <f>SUM(C9:E9)</f>
        <v>223534</v>
      </c>
      <c r="G9" s="86">
        <f>4487+4039+319</f>
        <v>8845</v>
      </c>
      <c r="H9" s="86">
        <f>16528+18+19+4096</f>
        <v>20661</v>
      </c>
      <c r="I9" s="86"/>
      <c r="J9" s="86">
        <f>SUM(G9:I9)</f>
        <v>29506</v>
      </c>
      <c r="K9" s="86">
        <f>SUM(C9+G9)</f>
        <v>168208</v>
      </c>
      <c r="L9" s="86">
        <f>SUM(D9+H9)</f>
        <v>84832</v>
      </c>
      <c r="M9" s="86">
        <f>SUM(E9+I9)</f>
        <v>0</v>
      </c>
      <c r="N9" s="565">
        <f>SUM(K9:M9)</f>
        <v>253040</v>
      </c>
      <c r="O9" s="84">
        <v>4518230</v>
      </c>
      <c r="P9" s="87">
        <v>1102744</v>
      </c>
      <c r="Q9" s="87">
        <v>492428</v>
      </c>
      <c r="R9" s="87">
        <f>SUM(O9:Q9)</f>
        <v>6113402</v>
      </c>
      <c r="S9" s="87">
        <v>54800</v>
      </c>
      <c r="T9" s="87">
        <v>31957</v>
      </c>
      <c r="U9" s="87">
        <v>14327</v>
      </c>
      <c r="V9" s="87">
        <f>SUM(S9:U9)</f>
        <v>101084</v>
      </c>
      <c r="W9" s="87">
        <f>SUM(O9+S9)</f>
        <v>4573030</v>
      </c>
      <c r="X9" s="87">
        <f t="shared" ref="W9:Y10" si="0">SUM(P9+T9)</f>
        <v>1134701</v>
      </c>
      <c r="Y9" s="87">
        <f t="shared" si="0"/>
        <v>506755</v>
      </c>
      <c r="Z9" s="564">
        <f>SUM(W9:Y9)</f>
        <v>6214486</v>
      </c>
      <c r="AA9" s="88">
        <f t="shared" ref="AA9:AB13" si="1">+C9+O9</f>
        <v>4677593</v>
      </c>
      <c r="AB9" s="89">
        <f t="shared" si="1"/>
        <v>1166915</v>
      </c>
      <c r="AC9" s="90">
        <f t="shared" ref="AC9:AC20" si="2">SUM(Q9+E9)</f>
        <v>492428</v>
      </c>
      <c r="AD9" s="91">
        <f>SUM(AA9:AC9)</f>
        <v>6336936</v>
      </c>
      <c r="AE9" s="88">
        <f>+G9+S9</f>
        <v>63645</v>
      </c>
      <c r="AF9" s="89">
        <f t="shared" ref="AE9:AF13" si="3">+H9+T9</f>
        <v>52618</v>
      </c>
      <c r="AG9" s="90">
        <f t="shared" ref="AG9:AG13" si="4">SUM(U9+I9)</f>
        <v>14327</v>
      </c>
      <c r="AH9" s="91">
        <f t="shared" ref="AH9:AH13" si="5">SUM(AE9:AG9)</f>
        <v>130590</v>
      </c>
      <c r="AI9" s="88">
        <f>+K9+W9</f>
        <v>4741238</v>
      </c>
      <c r="AJ9" s="89">
        <f t="shared" ref="AI9:AJ13" si="6">+L9+X9</f>
        <v>1219533</v>
      </c>
      <c r="AK9" s="90">
        <f t="shared" ref="AK9:AK13" si="7">SUM(Y9+M9)</f>
        <v>506755</v>
      </c>
      <c r="AL9" s="91">
        <f t="shared" ref="AL9:AL13" si="8">SUM(AI9:AK9)</f>
        <v>6467526</v>
      </c>
    </row>
    <row r="10" spans="1:38" ht="31.5" x14ac:dyDescent="0.25">
      <c r="A10" s="93" t="s">
        <v>29</v>
      </c>
      <c r="B10" s="93" t="s">
        <v>203</v>
      </c>
      <c r="C10" s="94">
        <v>45596</v>
      </c>
      <c r="D10" s="95">
        <v>28893</v>
      </c>
      <c r="E10" s="95"/>
      <c r="F10" s="94">
        <f>SUM(C10:E10)</f>
        <v>74489</v>
      </c>
      <c r="G10" s="95">
        <f>1212+1090</f>
        <v>2302</v>
      </c>
      <c r="H10" s="95">
        <f>4462+1239</f>
        <v>5701</v>
      </c>
      <c r="I10" s="95"/>
      <c r="J10" s="95">
        <f>SUM(G10:I10)</f>
        <v>8003</v>
      </c>
      <c r="K10" s="95">
        <f>SUM(C10+G10)</f>
        <v>47898</v>
      </c>
      <c r="L10" s="95">
        <f t="shared" ref="L10:M10" si="9">SUM(D10+H10)</f>
        <v>34594</v>
      </c>
      <c r="M10" s="95">
        <f t="shared" si="9"/>
        <v>0</v>
      </c>
      <c r="N10" s="94">
        <f>SUM(K10:M10)</f>
        <v>82492</v>
      </c>
      <c r="O10" s="94">
        <v>1280578</v>
      </c>
      <c r="P10" s="95">
        <v>296846</v>
      </c>
      <c r="Q10" s="95">
        <v>138574</v>
      </c>
      <c r="R10" s="94">
        <f>SUM(O10:Q10)</f>
        <v>1715998</v>
      </c>
      <c r="S10" s="95">
        <v>14257</v>
      </c>
      <c r="T10" s="95">
        <v>10726</v>
      </c>
      <c r="U10" s="95">
        <v>3869</v>
      </c>
      <c r="V10" s="95">
        <f>SUM(S10:U10)</f>
        <v>28852</v>
      </c>
      <c r="W10" s="95">
        <f t="shared" si="0"/>
        <v>1294835</v>
      </c>
      <c r="X10" s="95">
        <f t="shared" si="0"/>
        <v>307572</v>
      </c>
      <c r="Y10" s="95">
        <f t="shared" si="0"/>
        <v>142443</v>
      </c>
      <c r="Z10" s="94">
        <f>SUM(W10:Y10)</f>
        <v>1744850</v>
      </c>
      <c r="AA10" s="96">
        <f t="shared" si="1"/>
        <v>1326174</v>
      </c>
      <c r="AB10" s="97">
        <f t="shared" si="1"/>
        <v>325739</v>
      </c>
      <c r="AC10" s="98">
        <f t="shared" si="2"/>
        <v>138574</v>
      </c>
      <c r="AD10" s="99">
        <f>SUM(AA10:AC10)</f>
        <v>1790487</v>
      </c>
      <c r="AE10" s="96">
        <f t="shared" si="3"/>
        <v>16559</v>
      </c>
      <c r="AF10" s="97">
        <f t="shared" si="3"/>
        <v>16427</v>
      </c>
      <c r="AG10" s="98">
        <f t="shared" si="4"/>
        <v>3869</v>
      </c>
      <c r="AH10" s="99">
        <f t="shared" si="5"/>
        <v>36855</v>
      </c>
      <c r="AI10" s="96">
        <f t="shared" si="6"/>
        <v>1342733</v>
      </c>
      <c r="AJ10" s="97">
        <f t="shared" si="6"/>
        <v>342166</v>
      </c>
      <c r="AK10" s="98">
        <f t="shared" si="7"/>
        <v>142443</v>
      </c>
      <c r="AL10" s="99">
        <f t="shared" si="8"/>
        <v>1827342</v>
      </c>
    </row>
    <row r="11" spans="1:38" x14ac:dyDescent="0.25">
      <c r="A11" s="100" t="s">
        <v>30</v>
      </c>
      <c r="B11" s="100" t="s">
        <v>204</v>
      </c>
      <c r="C11" s="94">
        <v>1435894</v>
      </c>
      <c r="D11" s="95">
        <v>4277297</v>
      </c>
      <c r="E11" s="95">
        <v>243</v>
      </c>
      <c r="F11" s="94">
        <f>SUM(C11:E11)</f>
        <v>5713434</v>
      </c>
      <c r="G11" s="95">
        <f>10147+150+28+3810+5970+1586+18450+561+5000-4</f>
        <v>45698</v>
      </c>
      <c r="H11" s="95">
        <f>-52580-4282+35772-118-19-5335-1063+25-650</f>
        <v>-28250</v>
      </c>
      <c r="I11" s="95"/>
      <c r="J11" s="94">
        <f t="shared" ref="J11:J20" si="10">SUM(G11:I11)</f>
        <v>17448</v>
      </c>
      <c r="K11" s="95">
        <f t="shared" ref="K11:K13" si="11">SUM(C11+G11)</f>
        <v>1481592</v>
      </c>
      <c r="L11" s="95">
        <f t="shared" ref="L11:L13" si="12">SUM(D11+H11)</f>
        <v>4249047</v>
      </c>
      <c r="M11" s="95">
        <f t="shared" ref="M11:M13" si="13">SUM(E11+I11)</f>
        <v>243</v>
      </c>
      <c r="N11" s="94">
        <f t="shared" ref="N11:N13" si="14">SUM(K11:M11)</f>
        <v>5730882</v>
      </c>
      <c r="O11" s="94">
        <v>3651853</v>
      </c>
      <c r="P11" s="95">
        <v>770422</v>
      </c>
      <c r="Q11" s="95">
        <v>139714</v>
      </c>
      <c r="R11" s="94">
        <f>SUM(O11:Q11)</f>
        <v>4561989</v>
      </c>
      <c r="S11" s="95">
        <v>14319</v>
      </c>
      <c r="T11" s="95">
        <v>17936</v>
      </c>
      <c r="U11" s="95"/>
      <c r="V11" s="95">
        <f t="shared" ref="V11:V20" si="15">SUM(S11:U11)</f>
        <v>32255</v>
      </c>
      <c r="W11" s="95">
        <f t="shared" ref="W11:W13" si="16">SUM(O11+S11)</f>
        <v>3666172</v>
      </c>
      <c r="X11" s="95">
        <f t="shared" ref="X11:X13" si="17">SUM(P11+T11)</f>
        <v>788358</v>
      </c>
      <c r="Y11" s="95">
        <f t="shared" ref="Y11:Y13" si="18">SUM(Q11+U11)</f>
        <v>139714</v>
      </c>
      <c r="Z11" s="94">
        <f t="shared" ref="Z11:Z13" si="19">SUM(W11:Y11)</f>
        <v>4594244</v>
      </c>
      <c r="AA11" s="96">
        <f t="shared" si="1"/>
        <v>5087747</v>
      </c>
      <c r="AB11" s="97">
        <f t="shared" si="1"/>
        <v>5047719</v>
      </c>
      <c r="AC11" s="98">
        <f t="shared" si="2"/>
        <v>139957</v>
      </c>
      <c r="AD11" s="99">
        <f>SUM(AA11:AC11)</f>
        <v>10275423</v>
      </c>
      <c r="AE11" s="96">
        <f t="shared" si="3"/>
        <v>60017</v>
      </c>
      <c r="AF11" s="97">
        <f t="shared" si="3"/>
        <v>-10314</v>
      </c>
      <c r="AG11" s="98">
        <f t="shared" si="4"/>
        <v>0</v>
      </c>
      <c r="AH11" s="99">
        <f t="shared" si="5"/>
        <v>49703</v>
      </c>
      <c r="AI11" s="96">
        <f t="shared" si="6"/>
        <v>5147764</v>
      </c>
      <c r="AJ11" s="97">
        <f t="shared" si="6"/>
        <v>5037405</v>
      </c>
      <c r="AK11" s="98">
        <f t="shared" si="7"/>
        <v>139957</v>
      </c>
      <c r="AL11" s="99">
        <f t="shared" si="8"/>
        <v>10325126</v>
      </c>
    </row>
    <row r="12" spans="1:38" x14ac:dyDescent="0.25">
      <c r="A12" s="100" t="s">
        <v>235</v>
      </c>
      <c r="B12" s="100" t="s">
        <v>205</v>
      </c>
      <c r="C12" s="94">
        <v>60875</v>
      </c>
      <c r="D12" s="95"/>
      <c r="E12" s="95"/>
      <c r="F12" s="94">
        <f>SUM(C12:E12)</f>
        <v>60875</v>
      </c>
      <c r="G12" s="94">
        <v>-614</v>
      </c>
      <c r="H12" s="94"/>
      <c r="I12" s="94"/>
      <c r="J12" s="94">
        <f t="shared" si="10"/>
        <v>-614</v>
      </c>
      <c r="K12" s="95">
        <f t="shared" si="11"/>
        <v>60261</v>
      </c>
      <c r="L12" s="95">
        <f t="shared" si="12"/>
        <v>0</v>
      </c>
      <c r="M12" s="95">
        <f t="shared" si="13"/>
        <v>0</v>
      </c>
      <c r="N12" s="94">
        <f t="shared" si="14"/>
        <v>60261</v>
      </c>
      <c r="O12" s="94">
        <v>11184</v>
      </c>
      <c r="P12" s="101"/>
      <c r="Q12" s="101"/>
      <c r="R12" s="87">
        <f>SUM(O12:Q12)</f>
        <v>11184</v>
      </c>
      <c r="S12" s="87">
        <v>498</v>
      </c>
      <c r="T12" s="87">
        <v>0</v>
      </c>
      <c r="U12" s="87"/>
      <c r="V12" s="95">
        <f t="shared" si="15"/>
        <v>498</v>
      </c>
      <c r="W12" s="95">
        <f t="shared" si="16"/>
        <v>11682</v>
      </c>
      <c r="X12" s="95">
        <f t="shared" si="17"/>
        <v>0</v>
      </c>
      <c r="Y12" s="95">
        <f t="shared" si="18"/>
        <v>0</v>
      </c>
      <c r="Z12" s="94">
        <f t="shared" si="19"/>
        <v>11682</v>
      </c>
      <c r="AA12" s="102">
        <f t="shared" si="1"/>
        <v>72059</v>
      </c>
      <c r="AB12" s="103">
        <f t="shared" si="1"/>
        <v>0</v>
      </c>
      <c r="AC12" s="98">
        <f>SUM(Q12+E12)</f>
        <v>0</v>
      </c>
      <c r="AD12" s="104">
        <f>SUM(AA12:AC12)</f>
        <v>72059</v>
      </c>
      <c r="AE12" s="102">
        <f t="shared" si="3"/>
        <v>-116</v>
      </c>
      <c r="AF12" s="103">
        <f t="shared" si="3"/>
        <v>0</v>
      </c>
      <c r="AG12" s="98">
        <f t="shared" si="4"/>
        <v>0</v>
      </c>
      <c r="AH12" s="104">
        <f t="shared" si="5"/>
        <v>-116</v>
      </c>
      <c r="AI12" s="102">
        <f t="shared" si="6"/>
        <v>71943</v>
      </c>
      <c r="AJ12" s="103">
        <f t="shared" si="6"/>
        <v>0</v>
      </c>
      <c r="AK12" s="98">
        <f t="shared" si="7"/>
        <v>0</v>
      </c>
      <c r="AL12" s="104">
        <f t="shared" si="8"/>
        <v>71943</v>
      </c>
    </row>
    <row r="13" spans="1:38" ht="31.5" x14ac:dyDescent="0.25">
      <c r="A13" s="93" t="s">
        <v>236</v>
      </c>
      <c r="B13" s="93" t="s">
        <v>424</v>
      </c>
      <c r="C13" s="94">
        <v>4811765</v>
      </c>
      <c r="D13" s="95">
        <v>1559917</v>
      </c>
      <c r="E13" s="95"/>
      <c r="F13" s="94">
        <f>SUM(C13:E13)</f>
        <v>6371682</v>
      </c>
      <c r="G13" s="95">
        <f>145+11985+2237+9348+11430+18991+4</f>
        <v>54140</v>
      </c>
      <c r="H13" s="95">
        <f>52580+4282+1880+100-200-5000-482-25-800-244+1500+650+2500+1000+882+5000+20000+2000+1600+25000-20000-58000+23000+3000+500-50-44-50-50-58-200-100-100-30-20</f>
        <v>60021</v>
      </c>
      <c r="I13" s="95"/>
      <c r="J13" s="94">
        <f t="shared" si="10"/>
        <v>114161</v>
      </c>
      <c r="K13" s="95">
        <f t="shared" si="11"/>
        <v>4865905</v>
      </c>
      <c r="L13" s="95">
        <f t="shared" si="12"/>
        <v>1619938</v>
      </c>
      <c r="M13" s="95">
        <f t="shared" si="13"/>
        <v>0</v>
      </c>
      <c r="N13" s="94">
        <f t="shared" si="14"/>
        <v>6485843</v>
      </c>
      <c r="O13" s="94"/>
      <c r="P13" s="95"/>
      <c r="Q13" s="95"/>
      <c r="R13" s="94">
        <f>SUM(O13:Q13)</f>
        <v>0</v>
      </c>
      <c r="S13" s="95">
        <v>0</v>
      </c>
      <c r="T13" s="95">
        <v>1981</v>
      </c>
      <c r="U13" s="95"/>
      <c r="V13" s="95">
        <f t="shared" si="15"/>
        <v>1981</v>
      </c>
      <c r="W13" s="95">
        <f t="shared" si="16"/>
        <v>0</v>
      </c>
      <c r="X13" s="95">
        <f t="shared" si="17"/>
        <v>1981</v>
      </c>
      <c r="Y13" s="95">
        <f t="shared" si="18"/>
        <v>0</v>
      </c>
      <c r="Z13" s="94">
        <f t="shared" si="19"/>
        <v>1981</v>
      </c>
      <c r="AA13" s="96">
        <f t="shared" si="1"/>
        <v>4811765</v>
      </c>
      <c r="AB13" s="97">
        <f t="shared" si="1"/>
        <v>1559917</v>
      </c>
      <c r="AC13" s="98">
        <f t="shared" si="2"/>
        <v>0</v>
      </c>
      <c r="AD13" s="99">
        <f>SUM(AA13:AC13)</f>
        <v>6371682</v>
      </c>
      <c r="AE13" s="96">
        <f t="shared" si="3"/>
        <v>54140</v>
      </c>
      <c r="AF13" s="97">
        <f t="shared" si="3"/>
        <v>62002</v>
      </c>
      <c r="AG13" s="98">
        <f t="shared" si="4"/>
        <v>0</v>
      </c>
      <c r="AH13" s="99">
        <f t="shared" si="5"/>
        <v>116142</v>
      </c>
      <c r="AI13" s="96">
        <f t="shared" si="6"/>
        <v>4865905</v>
      </c>
      <c r="AJ13" s="97">
        <f t="shared" si="6"/>
        <v>1621919</v>
      </c>
      <c r="AK13" s="98">
        <f t="shared" si="7"/>
        <v>0</v>
      </c>
      <c r="AL13" s="99">
        <f t="shared" si="8"/>
        <v>6487824</v>
      </c>
    </row>
    <row r="14" spans="1:38" ht="31.5" x14ac:dyDescent="0.25">
      <c r="A14" s="505" t="s">
        <v>606</v>
      </c>
      <c r="B14" s="105"/>
      <c r="C14" s="106">
        <f>SUM(C9:C13)</f>
        <v>6513493</v>
      </c>
      <c r="D14" s="106">
        <f t="shared" ref="D14:AD14" si="20">SUM(D9:D13)</f>
        <v>5930278</v>
      </c>
      <c r="E14" s="106">
        <f t="shared" si="20"/>
        <v>243</v>
      </c>
      <c r="F14" s="106">
        <f t="shared" si="20"/>
        <v>12444014</v>
      </c>
      <c r="G14" s="106">
        <f t="shared" si="20"/>
        <v>110371</v>
      </c>
      <c r="H14" s="106">
        <f t="shared" si="20"/>
        <v>58133</v>
      </c>
      <c r="I14" s="106">
        <f t="shared" si="20"/>
        <v>0</v>
      </c>
      <c r="J14" s="106">
        <f t="shared" si="20"/>
        <v>168504</v>
      </c>
      <c r="K14" s="106">
        <f t="shared" si="20"/>
        <v>6623864</v>
      </c>
      <c r="L14" s="106">
        <f t="shared" si="20"/>
        <v>5988411</v>
      </c>
      <c r="M14" s="106">
        <f t="shared" si="20"/>
        <v>243</v>
      </c>
      <c r="N14" s="106">
        <f t="shared" si="20"/>
        <v>12612518</v>
      </c>
      <c r="O14" s="106">
        <f t="shared" si="20"/>
        <v>9461845</v>
      </c>
      <c r="P14" s="106">
        <f t="shared" si="20"/>
        <v>2170012</v>
      </c>
      <c r="Q14" s="106">
        <f t="shared" si="20"/>
        <v>770716</v>
      </c>
      <c r="R14" s="106">
        <f t="shared" si="20"/>
        <v>12402573</v>
      </c>
      <c r="S14" s="106">
        <f t="shared" si="20"/>
        <v>83874</v>
      </c>
      <c r="T14" s="106">
        <f t="shared" si="20"/>
        <v>62600</v>
      </c>
      <c r="U14" s="106">
        <f t="shared" si="20"/>
        <v>18196</v>
      </c>
      <c r="V14" s="106">
        <f t="shared" si="20"/>
        <v>164670</v>
      </c>
      <c r="W14" s="106">
        <f t="shared" si="20"/>
        <v>9545719</v>
      </c>
      <c r="X14" s="106">
        <f t="shared" si="20"/>
        <v>2232612</v>
      </c>
      <c r="Y14" s="106">
        <f t="shared" si="20"/>
        <v>788912</v>
      </c>
      <c r="Z14" s="106">
        <f t="shared" si="20"/>
        <v>12567243</v>
      </c>
      <c r="AA14" s="106">
        <f t="shared" si="20"/>
        <v>15975338</v>
      </c>
      <c r="AB14" s="106">
        <f t="shared" si="20"/>
        <v>8100290</v>
      </c>
      <c r="AC14" s="106">
        <f t="shared" si="20"/>
        <v>770959</v>
      </c>
      <c r="AD14" s="106">
        <f t="shared" si="20"/>
        <v>24846587</v>
      </c>
      <c r="AE14" s="106">
        <f t="shared" ref="AE14:AL14" si="21">SUM(AE9:AE13)</f>
        <v>194245</v>
      </c>
      <c r="AF14" s="106">
        <f t="shared" si="21"/>
        <v>120733</v>
      </c>
      <c r="AG14" s="106">
        <f t="shared" si="21"/>
        <v>18196</v>
      </c>
      <c r="AH14" s="106">
        <f t="shared" si="21"/>
        <v>333174</v>
      </c>
      <c r="AI14" s="106">
        <f t="shared" si="21"/>
        <v>16169583</v>
      </c>
      <c r="AJ14" s="106">
        <f t="shared" si="21"/>
        <v>8221023</v>
      </c>
      <c r="AK14" s="106">
        <f t="shared" si="21"/>
        <v>789155</v>
      </c>
      <c r="AL14" s="106">
        <f t="shared" si="21"/>
        <v>25179761</v>
      </c>
    </row>
    <row r="15" spans="1:38" x14ac:dyDescent="0.25">
      <c r="A15" s="100" t="s">
        <v>209</v>
      </c>
      <c r="B15" s="100" t="s">
        <v>206</v>
      </c>
      <c r="C15" s="94">
        <v>4161565</v>
      </c>
      <c r="D15" s="95">
        <v>14574098</v>
      </c>
      <c r="E15" s="95"/>
      <c r="F15" s="95">
        <f>SUM(C15:E15)</f>
        <v>18735663</v>
      </c>
      <c r="G15" s="95">
        <f>188320-203000-17000+218852-105000+106696-165000-200000-6044+1643+4401-5970-518000+518000+3600+2500+643</f>
        <v>-175359</v>
      </c>
      <c r="H15" s="95">
        <f>2229-10147+1098000+302353+1942+12986-600000+187000</f>
        <v>994363</v>
      </c>
      <c r="I15" s="95"/>
      <c r="J15" s="94">
        <f t="shared" si="10"/>
        <v>819004</v>
      </c>
      <c r="K15" s="95">
        <f t="shared" ref="K15:K17" si="22">SUM(C15+G15)</f>
        <v>3986206</v>
      </c>
      <c r="L15" s="95">
        <f t="shared" ref="L15:L17" si="23">SUM(D15+H15)</f>
        <v>15568461</v>
      </c>
      <c r="M15" s="95">
        <f t="shared" ref="M15:M17" si="24">SUM(E15+I15)</f>
        <v>0</v>
      </c>
      <c r="N15" s="94">
        <f t="shared" ref="N15:N17" si="25">SUM(K15:M15)</f>
        <v>19554667</v>
      </c>
      <c r="O15" s="94">
        <v>55407</v>
      </c>
      <c r="P15" s="95">
        <v>49347</v>
      </c>
      <c r="Q15" s="95">
        <v>29951</v>
      </c>
      <c r="R15" s="95">
        <f>SUM(O15:Q15)</f>
        <v>134705</v>
      </c>
      <c r="S15" s="95">
        <v>12447</v>
      </c>
      <c r="T15" s="95">
        <v>1292</v>
      </c>
      <c r="U15" s="95">
        <v>-580</v>
      </c>
      <c r="V15" s="95">
        <f t="shared" si="15"/>
        <v>13159</v>
      </c>
      <c r="W15" s="95">
        <f t="shared" ref="W15:W17" si="26">SUM(O15+S15)</f>
        <v>67854</v>
      </c>
      <c r="X15" s="95">
        <f t="shared" ref="X15:X17" si="27">SUM(P15+T15)</f>
        <v>50639</v>
      </c>
      <c r="Y15" s="95">
        <f t="shared" ref="Y15:Y17" si="28">SUM(Q15+U15)</f>
        <v>29371</v>
      </c>
      <c r="Z15" s="94">
        <f t="shared" ref="Z15:Z17" si="29">SUM(W15:Y15)</f>
        <v>147864</v>
      </c>
      <c r="AA15" s="96">
        <f t="shared" ref="AA15:AB17" si="30">+C15+O15</f>
        <v>4216972</v>
      </c>
      <c r="AB15" s="97">
        <f t="shared" si="30"/>
        <v>14623445</v>
      </c>
      <c r="AC15" s="98">
        <f t="shared" si="2"/>
        <v>29951</v>
      </c>
      <c r="AD15" s="99">
        <f>SUM(AA15:AC15)</f>
        <v>18870368</v>
      </c>
      <c r="AE15" s="96">
        <f t="shared" ref="AE15:AF17" si="31">+G15+S15</f>
        <v>-162912</v>
      </c>
      <c r="AF15" s="97">
        <f t="shared" si="31"/>
        <v>995655</v>
      </c>
      <c r="AG15" s="98">
        <f t="shared" ref="AG15:AG20" si="32">SUM(U15+I15)</f>
        <v>-580</v>
      </c>
      <c r="AH15" s="99">
        <f t="shared" ref="AH15:AH17" si="33">SUM(AE15:AG15)</f>
        <v>832163</v>
      </c>
      <c r="AI15" s="96">
        <f t="shared" ref="AI15:AJ17" si="34">+K15+W15</f>
        <v>4054060</v>
      </c>
      <c r="AJ15" s="97">
        <f t="shared" si="34"/>
        <v>15619100</v>
      </c>
      <c r="AK15" s="98">
        <f t="shared" ref="AK15:AK20" si="35">SUM(Y15+M15)</f>
        <v>29371</v>
      </c>
      <c r="AL15" s="99">
        <f t="shared" ref="AL15:AL17" si="36">SUM(AI15:AK15)</f>
        <v>19702531</v>
      </c>
    </row>
    <row r="16" spans="1:38" x14ac:dyDescent="0.25">
      <c r="A16" s="100" t="s">
        <v>210</v>
      </c>
      <c r="B16" s="100" t="s">
        <v>207</v>
      </c>
      <c r="C16" s="94">
        <v>1588061</v>
      </c>
      <c r="D16" s="95">
        <v>22797</v>
      </c>
      <c r="E16" s="95"/>
      <c r="F16" s="95">
        <f>SUM(C16:E16)</f>
        <v>1610858</v>
      </c>
      <c r="G16" s="95">
        <f>-63398-31706+209000-15000+14972+5871+6500+1100+3200+15000-63500</f>
        <v>82039</v>
      </c>
      <c r="H16" s="95">
        <v>58000</v>
      </c>
      <c r="I16" s="95"/>
      <c r="J16" s="95">
        <f t="shared" si="10"/>
        <v>140039</v>
      </c>
      <c r="K16" s="95">
        <f t="shared" si="22"/>
        <v>1670100</v>
      </c>
      <c r="L16" s="95">
        <f t="shared" si="23"/>
        <v>80797</v>
      </c>
      <c r="M16" s="95">
        <f t="shared" si="24"/>
        <v>0</v>
      </c>
      <c r="N16" s="94">
        <f t="shared" si="25"/>
        <v>1750897</v>
      </c>
      <c r="O16" s="94">
        <v>15547</v>
      </c>
      <c r="P16" s="95"/>
      <c r="Q16" s="95">
        <v>11166</v>
      </c>
      <c r="R16" s="95">
        <f>SUM(O16:Q16)</f>
        <v>26713</v>
      </c>
      <c r="S16" s="95">
        <v>4765</v>
      </c>
      <c r="T16" s="95"/>
      <c r="U16" s="95">
        <v>580</v>
      </c>
      <c r="V16" s="95">
        <f t="shared" si="15"/>
        <v>5345</v>
      </c>
      <c r="W16" s="95">
        <f t="shared" si="26"/>
        <v>20312</v>
      </c>
      <c r="X16" s="95">
        <f t="shared" si="27"/>
        <v>0</v>
      </c>
      <c r="Y16" s="95">
        <f t="shared" si="28"/>
        <v>11746</v>
      </c>
      <c r="Z16" s="94">
        <f t="shared" si="29"/>
        <v>32058</v>
      </c>
      <c r="AA16" s="96">
        <f t="shared" si="30"/>
        <v>1603608</v>
      </c>
      <c r="AB16" s="97">
        <f t="shared" si="30"/>
        <v>22797</v>
      </c>
      <c r="AC16" s="98">
        <f t="shared" si="2"/>
        <v>11166</v>
      </c>
      <c r="AD16" s="99">
        <f>SUM(AA16:AC16)</f>
        <v>1637571</v>
      </c>
      <c r="AE16" s="96">
        <f t="shared" si="31"/>
        <v>86804</v>
      </c>
      <c r="AF16" s="97">
        <f t="shared" si="31"/>
        <v>58000</v>
      </c>
      <c r="AG16" s="98">
        <f t="shared" si="32"/>
        <v>580</v>
      </c>
      <c r="AH16" s="99">
        <f t="shared" si="33"/>
        <v>145384</v>
      </c>
      <c r="AI16" s="96">
        <f t="shared" si="34"/>
        <v>1690412</v>
      </c>
      <c r="AJ16" s="97">
        <f t="shared" si="34"/>
        <v>80797</v>
      </c>
      <c r="AK16" s="98">
        <f t="shared" si="35"/>
        <v>11746</v>
      </c>
      <c r="AL16" s="99">
        <f t="shared" si="36"/>
        <v>1782955</v>
      </c>
    </row>
    <row r="17" spans="1:38" x14ac:dyDescent="0.25">
      <c r="A17" s="100" t="s">
        <v>343</v>
      </c>
      <c r="B17" s="100" t="s">
        <v>208</v>
      </c>
      <c r="C17" s="94">
        <v>0</v>
      </c>
      <c r="D17" s="95">
        <v>361905</v>
      </c>
      <c r="E17" s="95"/>
      <c r="F17" s="95">
        <f>SUM(C17:E17)</f>
        <v>361905</v>
      </c>
      <c r="G17" s="95"/>
      <c r="H17" s="95">
        <f>2500+4000+200+5000+1063+7200-1500+1000+20000</f>
        <v>39463</v>
      </c>
      <c r="I17" s="95"/>
      <c r="J17" s="95">
        <f t="shared" si="10"/>
        <v>39463</v>
      </c>
      <c r="K17" s="95">
        <f t="shared" si="22"/>
        <v>0</v>
      </c>
      <c r="L17" s="95">
        <f t="shared" si="23"/>
        <v>401368</v>
      </c>
      <c r="M17" s="95">
        <f t="shared" si="24"/>
        <v>0</v>
      </c>
      <c r="N17" s="94">
        <f t="shared" si="25"/>
        <v>401368</v>
      </c>
      <c r="O17" s="94"/>
      <c r="P17" s="95"/>
      <c r="Q17" s="95"/>
      <c r="R17" s="95">
        <f>SUM(O17:Q17)</f>
        <v>0</v>
      </c>
      <c r="S17" s="95"/>
      <c r="T17" s="95"/>
      <c r="U17" s="95"/>
      <c r="V17" s="95">
        <f t="shared" si="15"/>
        <v>0</v>
      </c>
      <c r="W17" s="95">
        <f t="shared" si="26"/>
        <v>0</v>
      </c>
      <c r="X17" s="95">
        <f t="shared" si="27"/>
        <v>0</v>
      </c>
      <c r="Y17" s="95">
        <f t="shared" si="28"/>
        <v>0</v>
      </c>
      <c r="Z17" s="94">
        <f t="shared" si="29"/>
        <v>0</v>
      </c>
      <c r="AA17" s="96">
        <f t="shared" si="30"/>
        <v>0</v>
      </c>
      <c r="AB17" s="97">
        <f t="shared" si="30"/>
        <v>361905</v>
      </c>
      <c r="AC17" s="98">
        <f t="shared" si="2"/>
        <v>0</v>
      </c>
      <c r="AD17" s="99">
        <f>SUM(AA17:AC17)</f>
        <v>361905</v>
      </c>
      <c r="AE17" s="96">
        <f t="shared" si="31"/>
        <v>0</v>
      </c>
      <c r="AF17" s="97">
        <f t="shared" si="31"/>
        <v>39463</v>
      </c>
      <c r="AG17" s="98">
        <f t="shared" si="32"/>
        <v>0</v>
      </c>
      <c r="AH17" s="99">
        <f t="shared" si="33"/>
        <v>39463</v>
      </c>
      <c r="AI17" s="96">
        <f t="shared" si="34"/>
        <v>0</v>
      </c>
      <c r="AJ17" s="97">
        <f t="shared" si="34"/>
        <v>401368</v>
      </c>
      <c r="AK17" s="98">
        <f t="shared" si="35"/>
        <v>0</v>
      </c>
      <c r="AL17" s="99">
        <f t="shared" si="36"/>
        <v>401368</v>
      </c>
    </row>
    <row r="18" spans="1:38" ht="31.5" x14ac:dyDescent="0.25">
      <c r="A18" s="505" t="s">
        <v>607</v>
      </c>
      <c r="B18" s="223"/>
      <c r="C18" s="107">
        <f t="shared" ref="C18:AB18" si="37">SUM(C15:C17)</f>
        <v>5749626</v>
      </c>
      <c r="D18" s="107">
        <f t="shared" si="37"/>
        <v>14958800</v>
      </c>
      <c r="E18" s="107">
        <f t="shared" si="37"/>
        <v>0</v>
      </c>
      <c r="F18" s="107">
        <f t="shared" si="37"/>
        <v>20708426</v>
      </c>
      <c r="G18" s="107">
        <f t="shared" si="37"/>
        <v>-93320</v>
      </c>
      <c r="H18" s="107">
        <f t="shared" si="37"/>
        <v>1091826</v>
      </c>
      <c r="I18" s="107">
        <f t="shared" si="37"/>
        <v>0</v>
      </c>
      <c r="J18" s="107">
        <f t="shared" si="37"/>
        <v>998506</v>
      </c>
      <c r="K18" s="107">
        <f t="shared" si="37"/>
        <v>5656306</v>
      </c>
      <c r="L18" s="107">
        <f t="shared" si="37"/>
        <v>16050626</v>
      </c>
      <c r="M18" s="107">
        <f t="shared" si="37"/>
        <v>0</v>
      </c>
      <c r="N18" s="106">
        <f t="shared" si="37"/>
        <v>21706932</v>
      </c>
      <c r="O18" s="106">
        <f t="shared" si="37"/>
        <v>70954</v>
      </c>
      <c r="P18" s="107">
        <f t="shared" si="37"/>
        <v>49347</v>
      </c>
      <c r="Q18" s="107">
        <f t="shared" si="37"/>
        <v>41117</v>
      </c>
      <c r="R18" s="107">
        <f t="shared" si="37"/>
        <v>161418</v>
      </c>
      <c r="S18" s="107">
        <f t="shared" si="37"/>
        <v>17212</v>
      </c>
      <c r="T18" s="107">
        <f t="shared" si="37"/>
        <v>1292</v>
      </c>
      <c r="U18" s="107">
        <f t="shared" si="37"/>
        <v>0</v>
      </c>
      <c r="V18" s="107">
        <f t="shared" si="37"/>
        <v>18504</v>
      </c>
      <c r="W18" s="107">
        <f t="shared" si="37"/>
        <v>88166</v>
      </c>
      <c r="X18" s="107">
        <f t="shared" si="37"/>
        <v>50639</v>
      </c>
      <c r="Y18" s="107">
        <f t="shared" si="37"/>
        <v>41117</v>
      </c>
      <c r="Z18" s="106">
        <f t="shared" si="37"/>
        <v>179922</v>
      </c>
      <c r="AA18" s="107">
        <f t="shared" si="37"/>
        <v>5820580</v>
      </c>
      <c r="AB18" s="108">
        <f t="shared" si="37"/>
        <v>15008147</v>
      </c>
      <c r="AC18" s="98">
        <f t="shared" si="2"/>
        <v>41117</v>
      </c>
      <c r="AD18" s="109">
        <f>SUM(AD15:AD17)</f>
        <v>20869844</v>
      </c>
      <c r="AE18" s="107">
        <f t="shared" ref="AE18:AF18" si="38">SUM(AE15:AE17)</f>
        <v>-76108</v>
      </c>
      <c r="AF18" s="108">
        <f t="shared" si="38"/>
        <v>1093118</v>
      </c>
      <c r="AG18" s="98">
        <f t="shared" si="32"/>
        <v>0</v>
      </c>
      <c r="AH18" s="109">
        <f t="shared" ref="AH18:AJ18" si="39">SUM(AH15:AH17)</f>
        <v>1017010</v>
      </c>
      <c r="AI18" s="107">
        <f t="shared" si="39"/>
        <v>5744472</v>
      </c>
      <c r="AJ18" s="108">
        <f t="shared" si="39"/>
        <v>16101265</v>
      </c>
      <c r="AK18" s="98">
        <f t="shared" si="35"/>
        <v>41117</v>
      </c>
      <c r="AL18" s="109">
        <f t="shared" ref="AL18" si="40">SUM(AL15:AL17)</f>
        <v>21886854</v>
      </c>
    </row>
    <row r="19" spans="1:38" x14ac:dyDescent="0.25">
      <c r="A19" s="246" t="s">
        <v>265</v>
      </c>
      <c r="B19" s="100"/>
      <c r="C19" s="94">
        <v>0</v>
      </c>
      <c r="D19" s="95">
        <v>22317</v>
      </c>
      <c r="E19" s="95"/>
      <c r="F19" s="95">
        <f>SUM(C19:E19)</f>
        <v>22317</v>
      </c>
      <c r="G19" s="95"/>
      <c r="H19" s="95">
        <v>82523</v>
      </c>
      <c r="I19" s="95"/>
      <c r="J19" s="95">
        <f t="shared" si="10"/>
        <v>82523</v>
      </c>
      <c r="K19" s="95">
        <f t="shared" ref="K19:K20" si="41">SUM(C19+G19)</f>
        <v>0</v>
      </c>
      <c r="L19" s="95">
        <f t="shared" ref="L19:L20" si="42">SUM(D19+H19)</f>
        <v>104840</v>
      </c>
      <c r="M19" s="95">
        <f t="shared" ref="M19:M20" si="43">SUM(E19+I19)</f>
        <v>0</v>
      </c>
      <c r="N19" s="94">
        <f t="shared" ref="N19:N20" si="44">SUM(K19:M19)</f>
        <v>104840</v>
      </c>
      <c r="O19" s="94">
        <v>0</v>
      </c>
      <c r="P19" s="95">
        <v>0</v>
      </c>
      <c r="Q19" s="95">
        <v>0</v>
      </c>
      <c r="R19" s="95">
        <f>SUM(O19:Q19)</f>
        <v>0</v>
      </c>
      <c r="S19" s="95"/>
      <c r="T19" s="95"/>
      <c r="U19" s="95"/>
      <c r="V19" s="95">
        <f t="shared" si="15"/>
        <v>0</v>
      </c>
      <c r="W19" s="95">
        <f t="shared" ref="W19:W20" si="45">SUM(O19+S19)</f>
        <v>0</v>
      </c>
      <c r="X19" s="95">
        <f t="shared" ref="X19:X20" si="46">SUM(P19+T19)</f>
        <v>0</v>
      </c>
      <c r="Y19" s="95">
        <f t="shared" ref="Y19:Y20" si="47">SUM(Q19+U19)</f>
        <v>0</v>
      </c>
      <c r="Z19" s="94">
        <f t="shared" ref="Z19:Z20" si="48">SUM(W19:Y19)</f>
        <v>0</v>
      </c>
      <c r="AA19" s="96">
        <f>+C19+O19</f>
        <v>0</v>
      </c>
      <c r="AB19" s="97">
        <f>+D19+P19</f>
        <v>22317</v>
      </c>
      <c r="AC19" s="98">
        <f t="shared" si="2"/>
        <v>0</v>
      </c>
      <c r="AD19" s="99">
        <f>SUM(AA19:AC19)</f>
        <v>22317</v>
      </c>
      <c r="AE19" s="96">
        <f t="shared" ref="AE19:AF20" si="49">+G19+S19</f>
        <v>0</v>
      </c>
      <c r="AF19" s="97">
        <f t="shared" si="49"/>
        <v>82523</v>
      </c>
      <c r="AG19" s="98">
        <f t="shared" si="32"/>
        <v>0</v>
      </c>
      <c r="AH19" s="99">
        <f t="shared" ref="AH19:AH20" si="50">SUM(AE19:AG19)</f>
        <v>82523</v>
      </c>
      <c r="AI19" s="96">
        <f t="shared" ref="AI19:AJ20" si="51">+K19+W19</f>
        <v>0</v>
      </c>
      <c r="AJ19" s="97">
        <f t="shared" si="51"/>
        <v>104840</v>
      </c>
      <c r="AK19" s="98">
        <f t="shared" si="35"/>
        <v>0</v>
      </c>
      <c r="AL19" s="99">
        <f t="shared" ref="AL19:AL20" si="52">SUM(AI19:AK19)</f>
        <v>104840</v>
      </c>
    </row>
    <row r="20" spans="1:38" x14ac:dyDescent="0.25">
      <c r="A20" s="246" t="s">
        <v>266</v>
      </c>
      <c r="B20" s="100"/>
      <c r="C20" s="94">
        <v>6081164</v>
      </c>
      <c r="D20" s="95">
        <v>470623</v>
      </c>
      <c r="E20" s="95"/>
      <c r="F20" s="95">
        <f>SUM(C20:E20)</f>
        <v>6551787</v>
      </c>
      <c r="G20" s="95">
        <v>-9087</v>
      </c>
      <c r="H20" s="95">
        <v>-34942</v>
      </c>
      <c r="I20" s="95"/>
      <c r="J20" s="95">
        <f t="shared" si="10"/>
        <v>-44029</v>
      </c>
      <c r="K20" s="95">
        <f t="shared" si="41"/>
        <v>6072077</v>
      </c>
      <c r="L20" s="95">
        <f t="shared" si="42"/>
        <v>435681</v>
      </c>
      <c r="M20" s="95">
        <f t="shared" si="43"/>
        <v>0</v>
      </c>
      <c r="N20" s="94">
        <f t="shared" si="44"/>
        <v>6507758</v>
      </c>
      <c r="O20" s="94">
        <v>0</v>
      </c>
      <c r="P20" s="95">
        <v>0</v>
      </c>
      <c r="Q20" s="95">
        <v>0</v>
      </c>
      <c r="R20" s="95">
        <f>SUM(O20:Q20)</f>
        <v>0</v>
      </c>
      <c r="S20" s="95"/>
      <c r="T20" s="95"/>
      <c r="U20" s="95"/>
      <c r="V20" s="95">
        <f t="shared" si="15"/>
        <v>0</v>
      </c>
      <c r="W20" s="95">
        <f t="shared" si="45"/>
        <v>0</v>
      </c>
      <c r="X20" s="95">
        <f t="shared" si="46"/>
        <v>0</v>
      </c>
      <c r="Y20" s="95">
        <f t="shared" si="47"/>
        <v>0</v>
      </c>
      <c r="Z20" s="94">
        <f t="shared" si="48"/>
        <v>0</v>
      </c>
      <c r="AA20" s="96">
        <f>+C20+O20</f>
        <v>6081164</v>
      </c>
      <c r="AB20" s="97">
        <f>+D20+P20</f>
        <v>470623</v>
      </c>
      <c r="AC20" s="98">
        <f t="shared" si="2"/>
        <v>0</v>
      </c>
      <c r="AD20" s="99">
        <f>SUM(AA20:AC20)</f>
        <v>6551787</v>
      </c>
      <c r="AE20" s="96">
        <f t="shared" si="49"/>
        <v>-9087</v>
      </c>
      <c r="AF20" s="97">
        <f t="shared" si="49"/>
        <v>-34942</v>
      </c>
      <c r="AG20" s="98">
        <f t="shared" si="32"/>
        <v>0</v>
      </c>
      <c r="AH20" s="99">
        <f t="shared" si="50"/>
        <v>-44029</v>
      </c>
      <c r="AI20" s="96">
        <f t="shared" si="51"/>
        <v>6072077</v>
      </c>
      <c r="AJ20" s="97">
        <f t="shared" si="51"/>
        <v>435681</v>
      </c>
      <c r="AK20" s="98">
        <f t="shared" si="35"/>
        <v>0</v>
      </c>
      <c r="AL20" s="99">
        <f t="shared" si="52"/>
        <v>6507758</v>
      </c>
    </row>
    <row r="21" spans="1:38" s="257" customFormat="1" ht="16.5" thickBot="1" x14ac:dyDescent="0.3">
      <c r="A21" s="251" t="s">
        <v>267</v>
      </c>
      <c r="B21" s="258" t="s">
        <v>425</v>
      </c>
      <c r="C21" s="259">
        <f>SUM(C19:C20)</f>
        <v>6081164</v>
      </c>
      <c r="D21" s="259">
        <f t="shared" ref="D21:AD21" si="53">SUM(D19:D20)</f>
        <v>492940</v>
      </c>
      <c r="E21" s="259">
        <f t="shared" si="53"/>
        <v>0</v>
      </c>
      <c r="F21" s="259">
        <f t="shared" si="53"/>
        <v>6574104</v>
      </c>
      <c r="G21" s="259">
        <f t="shared" ref="G21:N21" si="54">SUM(G19:G20)</f>
        <v>-9087</v>
      </c>
      <c r="H21" s="259">
        <f t="shared" si="54"/>
        <v>47581</v>
      </c>
      <c r="I21" s="259">
        <f t="shared" si="54"/>
        <v>0</v>
      </c>
      <c r="J21" s="259">
        <f t="shared" si="54"/>
        <v>38494</v>
      </c>
      <c r="K21" s="259">
        <f t="shared" si="54"/>
        <v>6072077</v>
      </c>
      <c r="L21" s="259">
        <f t="shared" si="54"/>
        <v>540521</v>
      </c>
      <c r="M21" s="259">
        <f t="shared" si="54"/>
        <v>0</v>
      </c>
      <c r="N21" s="259">
        <f t="shared" si="54"/>
        <v>6612598</v>
      </c>
      <c r="O21" s="259">
        <f t="shared" si="53"/>
        <v>0</v>
      </c>
      <c r="P21" s="259">
        <f t="shared" si="53"/>
        <v>0</v>
      </c>
      <c r="Q21" s="259">
        <f t="shared" si="53"/>
        <v>0</v>
      </c>
      <c r="R21" s="259">
        <f t="shared" si="53"/>
        <v>0</v>
      </c>
      <c r="S21" s="259">
        <f t="shared" ref="S21:Z21" si="55">SUM(S19:S20)</f>
        <v>0</v>
      </c>
      <c r="T21" s="259">
        <f t="shared" si="55"/>
        <v>0</v>
      </c>
      <c r="U21" s="259">
        <f t="shared" si="55"/>
        <v>0</v>
      </c>
      <c r="V21" s="259">
        <f t="shared" si="55"/>
        <v>0</v>
      </c>
      <c r="W21" s="259">
        <f t="shared" si="55"/>
        <v>0</v>
      </c>
      <c r="X21" s="259">
        <f t="shared" si="55"/>
        <v>0</v>
      </c>
      <c r="Y21" s="259">
        <f t="shared" si="55"/>
        <v>0</v>
      </c>
      <c r="Z21" s="259">
        <f t="shared" si="55"/>
        <v>0</v>
      </c>
      <c r="AA21" s="259">
        <f t="shared" si="53"/>
        <v>6081164</v>
      </c>
      <c r="AB21" s="259">
        <f t="shared" si="53"/>
        <v>492940</v>
      </c>
      <c r="AC21" s="259">
        <f t="shared" si="53"/>
        <v>0</v>
      </c>
      <c r="AD21" s="259">
        <f t="shared" si="53"/>
        <v>6574104</v>
      </c>
      <c r="AE21" s="259">
        <f t="shared" ref="AE21:AL21" si="56">SUM(AE19:AE20)</f>
        <v>-9087</v>
      </c>
      <c r="AF21" s="259">
        <f t="shared" si="56"/>
        <v>47581</v>
      </c>
      <c r="AG21" s="259">
        <f t="shared" si="56"/>
        <v>0</v>
      </c>
      <c r="AH21" s="259">
        <f t="shared" si="56"/>
        <v>38494</v>
      </c>
      <c r="AI21" s="259">
        <f t="shared" si="56"/>
        <v>6072077</v>
      </c>
      <c r="AJ21" s="259">
        <f t="shared" si="56"/>
        <v>540521</v>
      </c>
      <c r="AK21" s="259">
        <f t="shared" si="56"/>
        <v>0</v>
      </c>
      <c r="AL21" s="259">
        <f t="shared" si="56"/>
        <v>6612598</v>
      </c>
    </row>
    <row r="22" spans="1:38" ht="17.25" thickTop="1" thickBot="1" x14ac:dyDescent="0.3">
      <c r="A22" s="110" t="s">
        <v>268</v>
      </c>
      <c r="B22" s="226" t="s">
        <v>348</v>
      </c>
      <c r="C22" s="111">
        <f>+C21+C18+C14</f>
        <v>18344283</v>
      </c>
      <c r="D22" s="111">
        <f t="shared" ref="D22:AD22" si="57">+D21+D18+D14</f>
        <v>21382018</v>
      </c>
      <c r="E22" s="111">
        <f t="shared" si="57"/>
        <v>243</v>
      </c>
      <c r="F22" s="111">
        <f t="shared" si="57"/>
        <v>39726544</v>
      </c>
      <c r="G22" s="111">
        <f t="shared" ref="G22:N22" si="58">+G21+G18+G14</f>
        <v>7964</v>
      </c>
      <c r="H22" s="111">
        <f t="shared" si="58"/>
        <v>1197540</v>
      </c>
      <c r="I22" s="111">
        <f t="shared" si="58"/>
        <v>0</v>
      </c>
      <c r="J22" s="111">
        <f t="shared" si="58"/>
        <v>1205504</v>
      </c>
      <c r="K22" s="111">
        <f t="shared" si="58"/>
        <v>18352247</v>
      </c>
      <c r="L22" s="111">
        <f t="shared" si="58"/>
        <v>22579558</v>
      </c>
      <c r="M22" s="111">
        <f t="shared" si="58"/>
        <v>243</v>
      </c>
      <c r="N22" s="111">
        <f t="shared" si="58"/>
        <v>40932048</v>
      </c>
      <c r="O22" s="111">
        <f t="shared" si="57"/>
        <v>9532799</v>
      </c>
      <c r="P22" s="111">
        <f t="shared" si="57"/>
        <v>2219359</v>
      </c>
      <c r="Q22" s="111">
        <f t="shared" si="57"/>
        <v>811833</v>
      </c>
      <c r="R22" s="111">
        <f t="shared" si="57"/>
        <v>12563991</v>
      </c>
      <c r="S22" s="111">
        <f t="shared" ref="S22:Z22" si="59">+S21+S18+S14</f>
        <v>101086</v>
      </c>
      <c r="T22" s="111">
        <f t="shared" si="59"/>
        <v>63892</v>
      </c>
      <c r="U22" s="111">
        <f t="shared" si="59"/>
        <v>18196</v>
      </c>
      <c r="V22" s="111">
        <f t="shared" si="59"/>
        <v>183174</v>
      </c>
      <c r="W22" s="111">
        <f t="shared" si="59"/>
        <v>9633885</v>
      </c>
      <c r="X22" s="111">
        <f t="shared" si="59"/>
        <v>2283251</v>
      </c>
      <c r="Y22" s="111">
        <f t="shared" si="59"/>
        <v>830029</v>
      </c>
      <c r="Z22" s="111">
        <f t="shared" si="59"/>
        <v>12747165</v>
      </c>
      <c r="AA22" s="111">
        <f t="shared" si="57"/>
        <v>27877082</v>
      </c>
      <c r="AB22" s="111">
        <f t="shared" si="57"/>
        <v>23601377</v>
      </c>
      <c r="AC22" s="111">
        <f t="shared" si="57"/>
        <v>812076</v>
      </c>
      <c r="AD22" s="111">
        <f t="shared" si="57"/>
        <v>52290535</v>
      </c>
      <c r="AE22" s="111">
        <f t="shared" ref="AE22:AL22" si="60">+AE21+AE18+AE14</f>
        <v>109050</v>
      </c>
      <c r="AF22" s="111">
        <f t="shared" si="60"/>
        <v>1261432</v>
      </c>
      <c r="AG22" s="111">
        <f t="shared" si="60"/>
        <v>18196</v>
      </c>
      <c r="AH22" s="111">
        <f t="shared" si="60"/>
        <v>1388678</v>
      </c>
      <c r="AI22" s="111">
        <f t="shared" si="60"/>
        <v>27986132</v>
      </c>
      <c r="AJ22" s="111">
        <f t="shared" si="60"/>
        <v>24862809</v>
      </c>
      <c r="AK22" s="111">
        <f t="shared" si="60"/>
        <v>830272</v>
      </c>
      <c r="AL22" s="111">
        <f t="shared" si="60"/>
        <v>53679213</v>
      </c>
    </row>
    <row r="23" spans="1:38" ht="16.5" thickTop="1" x14ac:dyDescent="0.25">
      <c r="A23" s="404" t="s">
        <v>419</v>
      </c>
      <c r="B23" s="405" t="s">
        <v>417</v>
      </c>
      <c r="C23" s="406">
        <v>7362602</v>
      </c>
      <c r="D23" s="406">
        <v>1382664</v>
      </c>
      <c r="E23" s="406">
        <v>741070</v>
      </c>
      <c r="F23" s="406">
        <f>SUM(C23:E23)</f>
        <v>9486336</v>
      </c>
      <c r="G23" s="406">
        <v>93162</v>
      </c>
      <c r="H23" s="406">
        <v>41321</v>
      </c>
      <c r="I23" s="406">
        <v>18196</v>
      </c>
      <c r="J23" s="406">
        <f>SUM(G23:I23)</f>
        <v>152679</v>
      </c>
      <c r="K23" s="406">
        <f t="shared" ref="K23:K24" si="61">SUM(C23+G23)</f>
        <v>7455764</v>
      </c>
      <c r="L23" s="406">
        <f t="shared" ref="L23:L25" si="62">SUM(D23+H23)</f>
        <v>1423985</v>
      </c>
      <c r="M23" s="406">
        <f t="shared" ref="M23:M25" si="63">SUM(E23+I23)</f>
        <v>759266</v>
      </c>
      <c r="N23" s="406">
        <f t="shared" ref="N23:N25" si="64">SUM(K23:M23)</f>
        <v>9639015</v>
      </c>
      <c r="O23" s="406"/>
      <c r="P23" s="406"/>
      <c r="Q23" s="406"/>
      <c r="R23" s="406">
        <f>SUM(O23:Q23)</f>
        <v>0</v>
      </c>
      <c r="S23" s="406"/>
      <c r="T23" s="406"/>
      <c r="U23" s="406"/>
      <c r="V23" s="406">
        <f>SUM(S23:U23)</f>
        <v>0</v>
      </c>
      <c r="W23" s="406">
        <f t="shared" ref="W23:W25" si="65">SUM(O23+S23)</f>
        <v>0</v>
      </c>
      <c r="X23" s="406">
        <f t="shared" ref="X23:X25" si="66">SUM(P23+T23)</f>
        <v>0</v>
      </c>
      <c r="Y23" s="406">
        <f t="shared" ref="Y23:Y25" si="67">SUM(Q23+U23)</f>
        <v>0</v>
      </c>
      <c r="Z23" s="406">
        <f t="shared" ref="Z23:Z25" si="68">SUM(W23:Y23)</f>
        <v>0</v>
      </c>
      <c r="AA23" s="406">
        <f t="shared" ref="AA23:AD25" si="69">SUM(O23+C23)</f>
        <v>7362602</v>
      </c>
      <c r="AB23" s="406">
        <f t="shared" si="69"/>
        <v>1382664</v>
      </c>
      <c r="AC23" s="406">
        <f t="shared" si="69"/>
        <v>741070</v>
      </c>
      <c r="AD23" s="406">
        <f t="shared" si="69"/>
        <v>9486336</v>
      </c>
      <c r="AE23" s="406">
        <f t="shared" ref="AE23:AL25" si="70">SUM(S23+G23)</f>
        <v>93162</v>
      </c>
      <c r="AF23" s="406">
        <f t="shared" si="70"/>
        <v>41321</v>
      </c>
      <c r="AG23" s="406">
        <f t="shared" si="70"/>
        <v>18196</v>
      </c>
      <c r="AH23" s="406">
        <f t="shared" si="70"/>
        <v>152679</v>
      </c>
      <c r="AI23" s="406">
        <f t="shared" si="70"/>
        <v>7455764</v>
      </c>
      <c r="AJ23" s="406">
        <f t="shared" si="70"/>
        <v>1423985</v>
      </c>
      <c r="AK23" s="406">
        <f t="shared" si="70"/>
        <v>759266</v>
      </c>
      <c r="AL23" s="406">
        <f t="shared" si="70"/>
        <v>9639015</v>
      </c>
    </row>
    <row r="24" spans="1:38" ht="31.5" x14ac:dyDescent="0.25">
      <c r="A24" s="772" t="s">
        <v>426</v>
      </c>
      <c r="B24" s="776" t="s">
        <v>418</v>
      </c>
      <c r="C24" s="560"/>
      <c r="D24" s="560"/>
      <c r="E24" s="560"/>
      <c r="F24" s="560">
        <f>SUM(C24:E24)</f>
        <v>0</v>
      </c>
      <c r="G24" s="560"/>
      <c r="H24" s="560"/>
      <c r="I24" s="560"/>
      <c r="J24" s="560">
        <f>SUM(G24:I24)</f>
        <v>0</v>
      </c>
      <c r="K24" s="560">
        <f t="shared" si="61"/>
        <v>0</v>
      </c>
      <c r="L24" s="560">
        <f t="shared" si="62"/>
        <v>0</v>
      </c>
      <c r="M24" s="560">
        <f t="shared" si="63"/>
        <v>0</v>
      </c>
      <c r="N24" s="560">
        <f t="shared" si="64"/>
        <v>0</v>
      </c>
      <c r="O24" s="560"/>
      <c r="P24" s="560"/>
      <c r="Q24" s="560"/>
      <c r="R24" s="560">
        <f>SUM(O24:Q24)</f>
        <v>0</v>
      </c>
      <c r="S24" s="560"/>
      <c r="T24" s="560"/>
      <c r="U24" s="560"/>
      <c r="V24" s="560">
        <f>SUM(S24:U24)</f>
        <v>0</v>
      </c>
      <c r="W24" s="560">
        <f t="shared" si="65"/>
        <v>0</v>
      </c>
      <c r="X24" s="560">
        <f t="shared" si="66"/>
        <v>0</v>
      </c>
      <c r="Y24" s="560">
        <f t="shared" si="67"/>
        <v>0</v>
      </c>
      <c r="Z24" s="560">
        <f t="shared" si="68"/>
        <v>0</v>
      </c>
      <c r="AA24" s="560">
        <f t="shared" si="69"/>
        <v>0</v>
      </c>
      <c r="AB24" s="560">
        <f t="shared" si="69"/>
        <v>0</v>
      </c>
      <c r="AC24" s="560">
        <f t="shared" si="69"/>
        <v>0</v>
      </c>
      <c r="AD24" s="560">
        <f t="shared" si="69"/>
        <v>0</v>
      </c>
      <c r="AE24" s="560">
        <f t="shared" si="70"/>
        <v>0</v>
      </c>
      <c r="AF24" s="560">
        <f t="shared" si="70"/>
        <v>0</v>
      </c>
      <c r="AG24" s="560">
        <f t="shared" si="70"/>
        <v>0</v>
      </c>
      <c r="AH24" s="560">
        <f t="shared" si="70"/>
        <v>0</v>
      </c>
      <c r="AI24" s="560">
        <f t="shared" si="70"/>
        <v>0</v>
      </c>
      <c r="AJ24" s="560">
        <f t="shared" si="70"/>
        <v>0</v>
      </c>
      <c r="AK24" s="560">
        <f t="shared" si="70"/>
        <v>0</v>
      </c>
      <c r="AL24" s="560">
        <f t="shared" si="70"/>
        <v>0</v>
      </c>
    </row>
    <row r="25" spans="1:38" ht="31.5" x14ac:dyDescent="0.25">
      <c r="A25" s="427" t="s">
        <v>827</v>
      </c>
      <c r="B25" s="428" t="s">
        <v>828</v>
      </c>
      <c r="C25" s="408"/>
      <c r="D25" s="408">
        <v>3300000</v>
      </c>
      <c r="E25" s="408"/>
      <c r="F25" s="408">
        <f>SUM(C25:E25)</f>
        <v>3300000</v>
      </c>
      <c r="G25" s="408"/>
      <c r="H25" s="408">
        <v>1500000</v>
      </c>
      <c r="I25" s="408"/>
      <c r="J25" s="408">
        <f>SUM(G25:I25)</f>
        <v>1500000</v>
      </c>
      <c r="K25" s="408">
        <f t="shared" ref="K25" si="71">SUM(C25+G25)</f>
        <v>0</v>
      </c>
      <c r="L25" s="408">
        <f t="shared" si="62"/>
        <v>4800000</v>
      </c>
      <c r="M25" s="408">
        <f t="shared" si="63"/>
        <v>0</v>
      </c>
      <c r="N25" s="408">
        <f t="shared" si="64"/>
        <v>4800000</v>
      </c>
      <c r="O25" s="408"/>
      <c r="P25" s="408"/>
      <c r="Q25" s="408"/>
      <c r="R25" s="408">
        <f>SUM(O25:Q25)</f>
        <v>0</v>
      </c>
      <c r="S25" s="408"/>
      <c r="T25" s="408"/>
      <c r="U25" s="408"/>
      <c r="V25" s="408">
        <f>SUM(S25:U25)</f>
        <v>0</v>
      </c>
      <c r="W25" s="408">
        <f t="shared" si="65"/>
        <v>0</v>
      </c>
      <c r="X25" s="408">
        <f t="shared" si="66"/>
        <v>0</v>
      </c>
      <c r="Y25" s="408">
        <f t="shared" si="67"/>
        <v>0</v>
      </c>
      <c r="Z25" s="408">
        <f t="shared" si="68"/>
        <v>0</v>
      </c>
      <c r="AA25" s="408">
        <f t="shared" si="69"/>
        <v>0</v>
      </c>
      <c r="AB25" s="408">
        <f t="shared" si="69"/>
        <v>3300000</v>
      </c>
      <c r="AC25" s="408">
        <f t="shared" si="69"/>
        <v>0</v>
      </c>
      <c r="AD25" s="408">
        <f t="shared" si="69"/>
        <v>3300000</v>
      </c>
      <c r="AE25" s="408">
        <f t="shared" si="70"/>
        <v>0</v>
      </c>
      <c r="AF25" s="408">
        <f t="shared" si="70"/>
        <v>1500000</v>
      </c>
      <c r="AG25" s="408">
        <f t="shared" si="70"/>
        <v>0</v>
      </c>
      <c r="AH25" s="408">
        <f t="shared" si="70"/>
        <v>1500000</v>
      </c>
      <c r="AI25" s="408">
        <f t="shared" si="70"/>
        <v>0</v>
      </c>
      <c r="AJ25" s="408">
        <f t="shared" si="70"/>
        <v>4800000</v>
      </c>
      <c r="AK25" s="408">
        <f t="shared" si="70"/>
        <v>0</v>
      </c>
      <c r="AL25" s="408">
        <f t="shared" si="70"/>
        <v>4800000</v>
      </c>
    </row>
    <row r="26" spans="1:38" ht="32.25" thickBot="1" x14ac:dyDescent="0.3">
      <c r="A26" s="435" t="s">
        <v>844</v>
      </c>
      <c r="B26" s="771" t="s">
        <v>845</v>
      </c>
      <c r="C26" s="407">
        <v>129365</v>
      </c>
      <c r="D26" s="407"/>
      <c r="E26" s="407"/>
      <c r="F26" s="407">
        <f>SUM(C26:E26)</f>
        <v>129365</v>
      </c>
      <c r="G26" s="804"/>
      <c r="H26" s="407"/>
      <c r="I26" s="407"/>
      <c r="J26" s="407">
        <f>SUM(G26:I26)</f>
        <v>0</v>
      </c>
      <c r="K26" s="407">
        <f t="shared" ref="K26" si="72">SUM(C26+G26)</f>
        <v>129365</v>
      </c>
      <c r="L26" s="407">
        <f t="shared" ref="L26" si="73">SUM(D26+H26)</f>
        <v>0</v>
      </c>
      <c r="M26" s="407">
        <f t="shared" ref="M26" si="74">SUM(E26+I26)</f>
        <v>0</v>
      </c>
      <c r="N26" s="407">
        <f t="shared" ref="N26" si="75">SUM(K26:M26)</f>
        <v>129365</v>
      </c>
      <c r="O26" s="407"/>
      <c r="P26" s="407"/>
      <c r="Q26" s="407"/>
      <c r="R26" s="407">
        <f>SUM(O26:Q26)</f>
        <v>0</v>
      </c>
      <c r="S26" s="407"/>
      <c r="T26" s="407"/>
      <c r="U26" s="407"/>
      <c r="V26" s="407">
        <f>SUM(S26:U26)</f>
        <v>0</v>
      </c>
      <c r="W26" s="407">
        <f t="shared" ref="W26" si="76">SUM(O26+S26)</f>
        <v>0</v>
      </c>
      <c r="X26" s="407">
        <f t="shared" ref="X26" si="77">SUM(P26+T26)</f>
        <v>0</v>
      </c>
      <c r="Y26" s="407">
        <f t="shared" ref="Y26" si="78">SUM(Q26+U26)</f>
        <v>0</v>
      </c>
      <c r="Z26" s="407">
        <f t="shared" ref="Z26" si="79">SUM(W26:Y26)</f>
        <v>0</v>
      </c>
      <c r="AA26" s="407">
        <f t="shared" ref="AA26" si="80">SUM(O26+C26)</f>
        <v>129365</v>
      </c>
      <c r="AB26" s="407">
        <f t="shared" ref="AB26" si="81">SUM(P26+D26)</f>
        <v>0</v>
      </c>
      <c r="AC26" s="407">
        <f t="shared" ref="AC26" si="82">SUM(Q26+E26)</f>
        <v>0</v>
      </c>
      <c r="AD26" s="407">
        <f t="shared" ref="AD26" si="83">SUM(R26+F26)</f>
        <v>129365</v>
      </c>
      <c r="AE26" s="407">
        <f t="shared" ref="AE26" si="84">SUM(S26+G26)</f>
        <v>0</v>
      </c>
      <c r="AF26" s="407">
        <f t="shared" ref="AF26" si="85">SUM(T26+H26)</f>
        <v>0</v>
      </c>
      <c r="AG26" s="407">
        <f t="shared" ref="AG26" si="86">SUM(U26+I26)</f>
        <v>0</v>
      </c>
      <c r="AH26" s="407">
        <f t="shared" ref="AH26" si="87">SUM(V26+J26)</f>
        <v>0</v>
      </c>
      <c r="AI26" s="407">
        <f t="shared" ref="AI26" si="88">SUM(W26+K26)</f>
        <v>129365</v>
      </c>
      <c r="AJ26" s="407">
        <f t="shared" ref="AJ26" si="89">SUM(X26+L26)</f>
        <v>0</v>
      </c>
      <c r="AK26" s="407">
        <f t="shared" ref="AK26" si="90">SUM(Y26+M26)</f>
        <v>0</v>
      </c>
      <c r="AL26" s="407">
        <f t="shared" ref="AL26" si="91">SUM(Z26+N26)</f>
        <v>129365</v>
      </c>
    </row>
    <row r="27" spans="1:38" ht="17.25" thickTop="1" thickBot="1" x14ac:dyDescent="0.3">
      <c r="A27" s="112" t="s">
        <v>420</v>
      </c>
      <c r="B27" s="224" t="s">
        <v>269</v>
      </c>
      <c r="C27" s="324">
        <f>SUM(C23:C26)</f>
        <v>7491967</v>
      </c>
      <c r="D27" s="324">
        <f t="shared" ref="D27:E27" si="92">SUM(D23:D26)</f>
        <v>4682664</v>
      </c>
      <c r="E27" s="324">
        <f t="shared" si="92"/>
        <v>741070</v>
      </c>
      <c r="F27" s="324">
        <f>SUM(F23:F26)</f>
        <v>12915701</v>
      </c>
      <c r="G27" s="324">
        <f t="shared" ref="G27:AL27" si="93">SUM(G23:G26)</f>
        <v>93162</v>
      </c>
      <c r="H27" s="324">
        <f t="shared" si="93"/>
        <v>1541321</v>
      </c>
      <c r="I27" s="324">
        <f t="shared" si="93"/>
        <v>18196</v>
      </c>
      <c r="J27" s="324">
        <f t="shared" si="93"/>
        <v>1652679</v>
      </c>
      <c r="K27" s="324">
        <f t="shared" si="93"/>
        <v>7585129</v>
      </c>
      <c r="L27" s="324">
        <f t="shared" si="93"/>
        <v>6223985</v>
      </c>
      <c r="M27" s="324">
        <f t="shared" si="93"/>
        <v>759266</v>
      </c>
      <c r="N27" s="324">
        <f t="shared" si="93"/>
        <v>14568380</v>
      </c>
      <c r="O27" s="324">
        <f t="shared" si="93"/>
        <v>0</v>
      </c>
      <c r="P27" s="324">
        <f t="shared" si="93"/>
        <v>0</v>
      </c>
      <c r="Q27" s="324">
        <f t="shared" si="93"/>
        <v>0</v>
      </c>
      <c r="R27" s="324">
        <f t="shared" si="93"/>
        <v>0</v>
      </c>
      <c r="S27" s="324">
        <f t="shared" si="93"/>
        <v>0</v>
      </c>
      <c r="T27" s="324">
        <f t="shared" si="93"/>
        <v>0</v>
      </c>
      <c r="U27" s="324">
        <f t="shared" si="93"/>
        <v>0</v>
      </c>
      <c r="V27" s="324">
        <f t="shared" si="93"/>
        <v>0</v>
      </c>
      <c r="W27" s="324">
        <f t="shared" si="93"/>
        <v>0</v>
      </c>
      <c r="X27" s="324">
        <f t="shared" si="93"/>
        <v>0</v>
      </c>
      <c r="Y27" s="324">
        <f t="shared" si="93"/>
        <v>0</v>
      </c>
      <c r="Z27" s="324">
        <f t="shared" si="93"/>
        <v>0</v>
      </c>
      <c r="AA27" s="324">
        <f t="shared" si="93"/>
        <v>7491967</v>
      </c>
      <c r="AB27" s="324">
        <f t="shared" si="93"/>
        <v>4682664</v>
      </c>
      <c r="AC27" s="324">
        <f t="shared" si="93"/>
        <v>741070</v>
      </c>
      <c r="AD27" s="324">
        <f t="shared" si="93"/>
        <v>12915701</v>
      </c>
      <c r="AE27" s="324">
        <f t="shared" si="93"/>
        <v>93162</v>
      </c>
      <c r="AF27" s="324">
        <f t="shared" si="93"/>
        <v>1541321</v>
      </c>
      <c r="AG27" s="324">
        <f t="shared" si="93"/>
        <v>18196</v>
      </c>
      <c r="AH27" s="324">
        <f t="shared" si="93"/>
        <v>1652679</v>
      </c>
      <c r="AI27" s="324">
        <f t="shared" si="93"/>
        <v>7585129</v>
      </c>
      <c r="AJ27" s="324">
        <f t="shared" si="93"/>
        <v>6223985</v>
      </c>
      <c r="AK27" s="324">
        <f t="shared" si="93"/>
        <v>759266</v>
      </c>
      <c r="AL27" s="324">
        <f t="shared" si="93"/>
        <v>14568380</v>
      </c>
    </row>
    <row r="28" spans="1:38" s="249" customFormat="1" ht="17.25" thickTop="1" thickBot="1" x14ac:dyDescent="0.3">
      <c r="A28" s="333" t="s">
        <v>601</v>
      </c>
      <c r="B28" s="334"/>
      <c r="C28" s="805"/>
      <c r="D28" s="805"/>
      <c r="E28" s="805"/>
      <c r="F28" s="805"/>
      <c r="G28" s="805"/>
      <c r="H28" s="805"/>
      <c r="I28" s="805"/>
      <c r="J28" s="805"/>
      <c r="K28" s="805"/>
      <c r="L28" s="805"/>
      <c r="M28" s="805"/>
      <c r="N28" s="805"/>
      <c r="O28" s="805"/>
      <c r="P28" s="805"/>
      <c r="Q28" s="805"/>
      <c r="R28" s="806">
        <v>2077.1799999999998</v>
      </c>
      <c r="S28" s="806"/>
      <c r="T28" s="806"/>
      <c r="U28" s="806"/>
      <c r="V28" s="806">
        <v>25</v>
      </c>
      <c r="W28" s="806"/>
      <c r="X28" s="806"/>
      <c r="Y28" s="806"/>
      <c r="Z28" s="806">
        <f>SUM(R28+V28)</f>
        <v>2102.1799999999998</v>
      </c>
      <c r="AA28" s="805"/>
      <c r="AB28" s="805"/>
      <c r="AC28" s="805"/>
      <c r="AD28" s="806">
        <f>SUM(R28)</f>
        <v>2077.1799999999998</v>
      </c>
      <c r="AE28" s="805"/>
      <c r="AF28" s="805"/>
      <c r="AG28" s="805"/>
      <c r="AH28" s="806">
        <f>SUM(V28)</f>
        <v>25</v>
      </c>
      <c r="AI28" s="805"/>
      <c r="AJ28" s="805"/>
      <c r="AK28" s="805"/>
      <c r="AL28" s="806">
        <f t="shared" ref="AL28" si="94">SUM(Z28)</f>
        <v>2102.1799999999998</v>
      </c>
    </row>
    <row r="29" spans="1:38" ht="16.5" thickTop="1" x14ac:dyDescent="0.25">
      <c r="A29" s="114"/>
      <c r="B29" s="114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</row>
    <row r="30" spans="1:38" x14ac:dyDescent="0.25">
      <c r="A30" s="114"/>
      <c r="B30" s="114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</row>
    <row r="31" spans="1:38" x14ac:dyDescent="0.25">
      <c r="A31" s="114"/>
      <c r="B31" s="114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</row>
    <row r="32" spans="1:38" x14ac:dyDescent="0.25">
      <c r="A32" s="114"/>
      <c r="B32" s="114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</row>
    <row r="33" spans="1:38" x14ac:dyDescent="0.25">
      <c r="A33" s="114"/>
      <c r="B33" s="114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</row>
    <row r="34" spans="1:38" x14ac:dyDescent="0.25">
      <c r="A34" s="114"/>
      <c r="B34" s="114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</row>
    <row r="35" spans="1:38" x14ac:dyDescent="0.25">
      <c r="A35" s="114"/>
      <c r="B35" s="114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</row>
    <row r="36" spans="1:38" x14ac:dyDescent="0.25">
      <c r="A36" s="114"/>
      <c r="B36" s="114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</row>
    <row r="37" spans="1:38" x14ac:dyDescent="0.25">
      <c r="A37" s="114"/>
      <c r="B37" s="114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</row>
    <row r="38" spans="1:38" x14ac:dyDescent="0.25">
      <c r="A38" s="114"/>
      <c r="B38" s="114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</row>
    <row r="39" spans="1:38" x14ac:dyDescent="0.25">
      <c r="A39" s="67"/>
      <c r="B39" s="67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</sheetData>
  <mergeCells count="21">
    <mergeCell ref="B3:N3"/>
    <mergeCell ref="O3:Z3"/>
    <mergeCell ref="AA3:AL3"/>
    <mergeCell ref="AE6:AH6"/>
    <mergeCell ref="AI6:AL6"/>
    <mergeCell ref="AE8:AH8"/>
    <mergeCell ref="AI8:AL8"/>
    <mergeCell ref="AA5:AL5"/>
    <mergeCell ref="AA6:AD6"/>
    <mergeCell ref="AA8:AD8"/>
    <mergeCell ref="O8:R8"/>
    <mergeCell ref="C5:N5"/>
    <mergeCell ref="C6:F6"/>
    <mergeCell ref="S8:V8"/>
    <mergeCell ref="W8:Z8"/>
    <mergeCell ref="B1:N1"/>
    <mergeCell ref="B2:N2"/>
    <mergeCell ref="O1:Z1"/>
    <mergeCell ref="O2:Z2"/>
    <mergeCell ref="AA1:AL1"/>
    <mergeCell ref="AA2:AL2"/>
  </mergeCells>
  <phoneticPr fontId="0" type="noConversion"/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CE,Félkövér"&amp;11 2. melléklet a 28/2016.(VI.24.) önkormányzati rendelethez&amp;"Times New Roman CE,Dőlt"&amp;10
2. melléklet
 a 3/2016.(II.12.) önkormányzati rendelethez</oddHeader>
    <oddFooter>&amp;P. oldal</oddFooter>
  </headerFooter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48"/>
  <sheetViews>
    <sheetView topLeftCell="A49" zoomScaleNormal="100" workbookViewId="0">
      <selection activeCell="F58" sqref="F58"/>
    </sheetView>
  </sheetViews>
  <sheetFormatPr defaultColWidth="9.25" defaultRowHeight="15.75" x14ac:dyDescent="0.25"/>
  <cols>
    <col min="1" max="1" width="37.5" style="74" customWidth="1"/>
    <col min="2" max="2" width="11.625" style="74" customWidth="1"/>
    <col min="3" max="3" width="15" style="7" customWidth="1"/>
    <col min="4" max="4" width="14.5" style="7" customWidth="1"/>
    <col min="5" max="5" width="15.25" style="7" customWidth="1"/>
    <col min="6" max="6" width="14.25" style="7" customWidth="1"/>
    <col min="7" max="7" width="14.5" style="7" customWidth="1"/>
    <col min="8" max="8" width="14.75" style="7" customWidth="1"/>
    <col min="9" max="11" width="14.875" style="7" customWidth="1"/>
    <col min="12" max="16384" width="9.25" style="7"/>
  </cols>
  <sheetData>
    <row r="1" spans="1:256" customFormat="1" x14ac:dyDescent="0.25">
      <c r="A1" s="945" t="s">
        <v>238</v>
      </c>
      <c r="B1" s="945"/>
      <c r="C1" s="945"/>
      <c r="D1" s="945"/>
      <c r="E1" s="945"/>
      <c r="F1" s="945"/>
      <c r="G1" s="945"/>
      <c r="H1" s="945"/>
      <c r="I1" s="945"/>
      <c r="J1" s="945"/>
      <c r="K1" s="945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  <c r="HJ1" s="92"/>
      <c r="HK1" s="92"/>
      <c r="HL1" s="92"/>
      <c r="HM1" s="92"/>
      <c r="HN1" s="92"/>
      <c r="HO1" s="92"/>
      <c r="HP1" s="92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  <c r="IF1" s="92"/>
      <c r="IG1" s="92"/>
      <c r="IH1" s="92"/>
      <c r="II1" s="92"/>
      <c r="IJ1" s="92"/>
      <c r="IK1" s="92"/>
      <c r="IL1" s="92"/>
      <c r="IM1" s="92"/>
      <c r="IN1" s="92"/>
      <c r="IO1" s="92"/>
      <c r="IP1" s="92"/>
      <c r="IQ1" s="92"/>
      <c r="IR1" s="92"/>
      <c r="IS1" s="92"/>
      <c r="IT1" s="92"/>
      <c r="IU1" s="92"/>
      <c r="IV1" s="92"/>
    </row>
    <row r="2" spans="1:256" customFormat="1" x14ac:dyDescent="0.25">
      <c r="A2" s="945" t="s">
        <v>468</v>
      </c>
      <c r="B2" s="945"/>
      <c r="C2" s="945"/>
      <c r="D2" s="945"/>
      <c r="E2" s="945"/>
      <c r="F2" s="945"/>
      <c r="G2" s="945"/>
      <c r="H2" s="945"/>
      <c r="I2" s="945"/>
      <c r="J2" s="945"/>
      <c r="K2" s="945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  <c r="HH2" s="92"/>
      <c r="HI2" s="92"/>
      <c r="HJ2" s="92"/>
      <c r="HK2" s="92"/>
      <c r="HL2" s="92"/>
      <c r="HM2" s="92"/>
      <c r="HN2" s="92"/>
      <c r="HO2" s="92"/>
      <c r="HP2" s="92"/>
      <c r="HQ2" s="92"/>
      <c r="HR2" s="92"/>
      <c r="HS2" s="92"/>
      <c r="HT2" s="92"/>
      <c r="HU2" s="92"/>
      <c r="HV2" s="92"/>
      <c r="HW2" s="92"/>
      <c r="HX2" s="92"/>
      <c r="HY2" s="92"/>
      <c r="HZ2" s="92"/>
      <c r="IA2" s="92"/>
      <c r="IB2" s="92"/>
      <c r="IC2" s="92"/>
      <c r="ID2" s="92"/>
      <c r="IE2" s="92"/>
      <c r="IF2" s="92"/>
      <c r="IG2" s="92"/>
      <c r="IH2" s="92"/>
      <c r="II2" s="92"/>
      <c r="IJ2" s="92"/>
      <c r="IK2" s="92"/>
      <c r="IL2" s="92"/>
      <c r="IM2" s="92"/>
      <c r="IN2" s="92"/>
      <c r="IO2" s="92"/>
      <c r="IP2" s="92"/>
      <c r="IQ2" s="92"/>
      <c r="IR2" s="92"/>
      <c r="IS2" s="92"/>
      <c r="IT2" s="92"/>
      <c r="IU2" s="92"/>
      <c r="IV2" s="92"/>
    </row>
    <row r="3" spans="1:256" customFormat="1" x14ac:dyDescent="0.25">
      <c r="A3" s="945" t="s">
        <v>944</v>
      </c>
      <c r="B3" s="945"/>
      <c r="C3" s="945"/>
      <c r="D3" s="945"/>
      <c r="E3" s="945"/>
      <c r="F3" s="945"/>
      <c r="G3" s="945"/>
      <c r="H3" s="945"/>
      <c r="I3" s="945"/>
      <c r="J3" s="945"/>
      <c r="K3" s="945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  <c r="GW3" s="92"/>
      <c r="GX3" s="92"/>
      <c r="GY3" s="92"/>
      <c r="GZ3" s="92"/>
      <c r="HA3" s="92"/>
      <c r="HB3" s="92"/>
      <c r="HC3" s="92"/>
      <c r="HD3" s="92"/>
      <c r="HE3" s="92"/>
      <c r="HF3" s="92"/>
      <c r="HG3" s="92"/>
      <c r="HH3" s="92"/>
      <c r="HI3" s="92"/>
      <c r="HJ3" s="92"/>
      <c r="HK3" s="92"/>
      <c r="HL3" s="92"/>
      <c r="HM3" s="92"/>
      <c r="HN3" s="92"/>
      <c r="HO3" s="92"/>
      <c r="HP3" s="92"/>
      <c r="HQ3" s="92"/>
      <c r="HR3" s="92"/>
      <c r="HS3" s="92"/>
      <c r="HT3" s="92"/>
      <c r="HU3" s="92"/>
      <c r="HV3" s="92"/>
      <c r="HW3" s="92"/>
      <c r="HX3" s="92"/>
      <c r="HY3" s="92"/>
      <c r="HZ3" s="92"/>
      <c r="IA3" s="92"/>
      <c r="IB3" s="92"/>
      <c r="IC3" s="92"/>
      <c r="ID3" s="92"/>
      <c r="IE3" s="92"/>
      <c r="IF3" s="92"/>
      <c r="IG3" s="92"/>
      <c r="IH3" s="92"/>
      <c r="II3" s="92"/>
      <c r="IJ3" s="92"/>
      <c r="IK3" s="92"/>
      <c r="IL3" s="92"/>
      <c r="IM3" s="92"/>
      <c r="IN3" s="92"/>
      <c r="IO3" s="92"/>
      <c r="IP3" s="92"/>
      <c r="IQ3" s="92"/>
      <c r="IR3" s="92"/>
      <c r="IS3" s="92"/>
      <c r="IT3" s="92"/>
      <c r="IU3" s="92"/>
      <c r="IV3" s="92"/>
    </row>
    <row r="5" spans="1:256" ht="16.5" thickBot="1" x14ac:dyDescent="0.3"/>
    <row r="6" spans="1:256" ht="87" customHeight="1" thickTop="1" thickBot="1" x14ac:dyDescent="0.3">
      <c r="A6" s="951" t="s">
        <v>184</v>
      </c>
      <c r="B6" s="951" t="s">
        <v>201</v>
      </c>
      <c r="C6" s="936" t="s">
        <v>22</v>
      </c>
      <c r="D6" s="937"/>
      <c r="E6" s="938"/>
      <c r="F6" s="940" t="s">
        <v>23</v>
      </c>
      <c r="G6" s="941"/>
      <c r="H6" s="942"/>
      <c r="I6" s="933" t="s">
        <v>191</v>
      </c>
      <c r="J6" s="934"/>
      <c r="K6" s="935"/>
    </row>
    <row r="7" spans="1:256" ht="33" customHeight="1" thickTop="1" thickBot="1" x14ac:dyDescent="0.3">
      <c r="A7" s="952"/>
      <c r="B7" s="952"/>
      <c r="C7" s="782" t="s">
        <v>653</v>
      </c>
      <c r="D7" s="782" t="s">
        <v>654</v>
      </c>
      <c r="E7" s="782" t="s">
        <v>835</v>
      </c>
      <c r="F7" s="8" t="s">
        <v>653</v>
      </c>
      <c r="G7" s="8" t="s">
        <v>654</v>
      </c>
      <c r="H7" s="8" t="s">
        <v>835</v>
      </c>
      <c r="I7" s="8" t="s">
        <v>653</v>
      </c>
      <c r="J7" s="8" t="s">
        <v>654</v>
      </c>
      <c r="K7" s="8" t="s">
        <v>835</v>
      </c>
    </row>
    <row r="8" spans="1:256" ht="17.25" thickTop="1" thickBot="1" x14ac:dyDescent="0.3">
      <c r="A8" s="5" t="s">
        <v>185</v>
      </c>
      <c r="B8" s="221"/>
      <c r="C8" s="6" t="s">
        <v>240</v>
      </c>
      <c r="D8" s="506" t="s">
        <v>655</v>
      </c>
      <c r="E8" s="506" t="s">
        <v>656</v>
      </c>
      <c r="F8" s="218" t="s">
        <v>241</v>
      </c>
      <c r="G8" s="507" t="s">
        <v>657</v>
      </c>
      <c r="H8" s="507" t="s">
        <v>658</v>
      </c>
      <c r="I8" s="237" t="s">
        <v>661</v>
      </c>
      <c r="J8" s="237" t="s">
        <v>662</v>
      </c>
      <c r="K8" s="237" t="s">
        <v>663</v>
      </c>
    </row>
    <row r="9" spans="1:256" s="32" customFormat="1" ht="32.25" thickTop="1" x14ac:dyDescent="0.25">
      <c r="A9" s="31" t="s">
        <v>243</v>
      </c>
      <c r="B9" s="241" t="s">
        <v>247</v>
      </c>
      <c r="C9" s="242">
        <v>7287</v>
      </c>
      <c r="D9" s="228"/>
      <c r="E9" s="228">
        <f>SUM(C9:D9)</f>
        <v>7287</v>
      </c>
      <c r="F9" s="18">
        <v>0</v>
      </c>
      <c r="G9" s="18"/>
      <c r="H9" s="18">
        <f>SUM(F9:G9)</f>
        <v>0</v>
      </c>
      <c r="I9" s="12">
        <f>SUM(F9+C9)</f>
        <v>7287</v>
      </c>
      <c r="J9" s="12">
        <f t="shared" ref="J9:K11" si="0">SUM(G9+D9)</f>
        <v>0</v>
      </c>
      <c r="K9" s="12">
        <f t="shared" si="0"/>
        <v>7287</v>
      </c>
    </row>
    <row r="10" spans="1:256" s="32" customFormat="1" ht="31.5" x14ac:dyDescent="0.25">
      <c r="A10" s="31" t="s">
        <v>428</v>
      </c>
      <c r="B10" s="31" t="s">
        <v>248</v>
      </c>
      <c r="C10" s="18">
        <v>1841862</v>
      </c>
      <c r="D10" s="18"/>
      <c r="E10" s="18">
        <f>SUM(C10:D10)</f>
        <v>1841862</v>
      </c>
      <c r="F10" s="18">
        <v>0</v>
      </c>
      <c r="G10" s="18"/>
      <c r="H10" s="18">
        <f>SUM(F10:G10)</f>
        <v>0</v>
      </c>
      <c r="I10" s="12">
        <f>SUM(F10+C10)</f>
        <v>1841862</v>
      </c>
      <c r="J10" s="12">
        <f t="shared" si="0"/>
        <v>0</v>
      </c>
      <c r="K10" s="12">
        <f t="shared" si="0"/>
        <v>1841862</v>
      </c>
    </row>
    <row r="11" spans="1:256" s="32" customFormat="1" ht="47.25" x14ac:dyDescent="0.25">
      <c r="A11" s="403" t="s">
        <v>397</v>
      </c>
      <c r="B11" s="31" t="s">
        <v>249</v>
      </c>
      <c r="C11" s="18">
        <v>1416449</v>
      </c>
      <c r="D11" s="18">
        <v>7654</v>
      </c>
      <c r="E11" s="18">
        <f t="shared" ref="E11:E16" si="1">SUM(C11:D11)</f>
        <v>1424103</v>
      </c>
      <c r="F11" s="18">
        <v>0</v>
      </c>
      <c r="G11" s="18"/>
      <c r="H11" s="18">
        <f t="shared" ref="H11:H16" si="2">SUM(F11:G11)</f>
        <v>0</v>
      </c>
      <c r="I11" s="12">
        <f>SUM(F11+C11)</f>
        <v>1416449</v>
      </c>
      <c r="J11" s="12">
        <f t="shared" si="0"/>
        <v>7654</v>
      </c>
      <c r="K11" s="12">
        <f t="shared" si="0"/>
        <v>1424103</v>
      </c>
    </row>
    <row r="12" spans="1:256" s="32" customFormat="1" ht="31.5" x14ac:dyDescent="0.25">
      <c r="A12" s="31" t="s">
        <v>244</v>
      </c>
      <c r="B12" s="31" t="s">
        <v>250</v>
      </c>
      <c r="C12" s="18">
        <v>762887</v>
      </c>
      <c r="D12" s="18"/>
      <c r="E12" s="18">
        <f t="shared" si="1"/>
        <v>762887</v>
      </c>
      <c r="F12" s="18">
        <v>0</v>
      </c>
      <c r="G12" s="18"/>
      <c r="H12" s="18">
        <f t="shared" si="2"/>
        <v>0</v>
      </c>
      <c r="I12" s="12">
        <f>SUM(C12+F12)</f>
        <v>762887</v>
      </c>
      <c r="J12" s="12">
        <f t="shared" ref="J12:K16" si="3">SUM(D12+G12)</f>
        <v>0</v>
      </c>
      <c r="K12" s="12">
        <f t="shared" si="3"/>
        <v>762887</v>
      </c>
    </row>
    <row r="13" spans="1:256" s="33" customFormat="1" ht="31.5" x14ac:dyDescent="0.25">
      <c r="A13" s="31" t="s">
        <v>25</v>
      </c>
      <c r="B13" s="31"/>
      <c r="C13" s="18">
        <v>221200</v>
      </c>
      <c r="D13" s="18"/>
      <c r="E13" s="18">
        <f t="shared" si="1"/>
        <v>221200</v>
      </c>
      <c r="F13" s="18">
        <v>0</v>
      </c>
      <c r="G13" s="18"/>
      <c r="H13" s="18">
        <f t="shared" si="2"/>
        <v>0</v>
      </c>
      <c r="I13" s="12">
        <f>SUM(C13+F13)</f>
        <v>221200</v>
      </c>
      <c r="J13" s="12">
        <f t="shared" si="3"/>
        <v>0</v>
      </c>
      <c r="K13" s="12">
        <f t="shared" si="3"/>
        <v>221200</v>
      </c>
    </row>
    <row r="14" spans="1:256" s="33" customFormat="1" ht="31.5" x14ac:dyDescent="0.25">
      <c r="A14" s="31" t="s">
        <v>26</v>
      </c>
      <c r="B14" s="31"/>
      <c r="C14" s="18">
        <v>134300</v>
      </c>
      <c r="D14" s="18"/>
      <c r="E14" s="18">
        <f t="shared" si="1"/>
        <v>134300</v>
      </c>
      <c r="F14" s="18">
        <v>0</v>
      </c>
      <c r="G14" s="18"/>
      <c r="H14" s="18">
        <f t="shared" si="2"/>
        <v>0</v>
      </c>
      <c r="I14" s="12">
        <f>SUM(C14+F14)</f>
        <v>134300</v>
      </c>
      <c r="J14" s="12">
        <f t="shared" si="3"/>
        <v>0</v>
      </c>
      <c r="K14" s="12">
        <f t="shared" si="3"/>
        <v>134300</v>
      </c>
    </row>
    <row r="15" spans="1:256" s="33" customFormat="1" x14ac:dyDescent="0.25">
      <c r="A15" s="31" t="s">
        <v>27</v>
      </c>
      <c r="B15" s="31"/>
      <c r="C15" s="18">
        <v>304300</v>
      </c>
      <c r="D15" s="18"/>
      <c r="E15" s="18">
        <f t="shared" si="1"/>
        <v>304300</v>
      </c>
      <c r="F15" s="18">
        <v>0</v>
      </c>
      <c r="G15" s="18"/>
      <c r="H15" s="18">
        <f t="shared" si="2"/>
        <v>0</v>
      </c>
      <c r="I15" s="12">
        <f>SUM(C15+F15)</f>
        <v>304300</v>
      </c>
      <c r="J15" s="12">
        <f t="shared" si="3"/>
        <v>0</v>
      </c>
      <c r="K15" s="12">
        <f t="shared" si="3"/>
        <v>304300</v>
      </c>
    </row>
    <row r="16" spans="1:256" s="33" customFormat="1" ht="42" customHeight="1" x14ac:dyDescent="0.25">
      <c r="A16" s="31" t="s">
        <v>429</v>
      </c>
      <c r="B16" s="31" t="s">
        <v>251</v>
      </c>
      <c r="C16" s="18">
        <v>15689</v>
      </c>
      <c r="D16" s="18">
        <v>21439</v>
      </c>
      <c r="E16" s="18">
        <f t="shared" si="1"/>
        <v>37128</v>
      </c>
      <c r="F16" s="18">
        <v>0</v>
      </c>
      <c r="G16" s="18"/>
      <c r="H16" s="18">
        <f t="shared" si="2"/>
        <v>0</v>
      </c>
      <c r="I16" s="12">
        <f>SUM(C16+F16)</f>
        <v>15689</v>
      </c>
      <c r="J16" s="12">
        <f t="shared" si="3"/>
        <v>21439</v>
      </c>
      <c r="K16" s="12">
        <f t="shared" si="3"/>
        <v>37128</v>
      </c>
    </row>
    <row r="17" spans="1:11" s="25" customFormat="1" ht="31.5" x14ac:dyDescent="0.25">
      <c r="A17" s="22" t="s">
        <v>246</v>
      </c>
      <c r="B17" s="22" t="s">
        <v>252</v>
      </c>
      <c r="C17" s="23">
        <f>SUM(C9:C11,C12,C16)</f>
        <v>4044174</v>
      </c>
      <c r="D17" s="23">
        <f t="shared" ref="D17:H17" si="4">SUM(D9:D11,D12,D16)</f>
        <v>29093</v>
      </c>
      <c r="E17" s="23">
        <f t="shared" si="4"/>
        <v>4073267</v>
      </c>
      <c r="F17" s="23">
        <f t="shared" si="4"/>
        <v>0</v>
      </c>
      <c r="G17" s="23">
        <f t="shared" si="4"/>
        <v>0</v>
      </c>
      <c r="H17" s="23">
        <f t="shared" si="4"/>
        <v>0</v>
      </c>
      <c r="I17" s="23">
        <f>SUM(I9:I11,I12,I16)</f>
        <v>4044174</v>
      </c>
      <c r="J17" s="23">
        <f t="shared" ref="J17:K17" si="5">SUM(J9:J11,J12,J16)</f>
        <v>29093</v>
      </c>
      <c r="K17" s="23">
        <f t="shared" si="5"/>
        <v>4073267</v>
      </c>
    </row>
    <row r="18" spans="1:11" s="25" customFormat="1" ht="31.5" x14ac:dyDescent="0.25">
      <c r="A18" s="22" t="s">
        <v>286</v>
      </c>
      <c r="B18" s="22" t="s">
        <v>287</v>
      </c>
      <c r="C18" s="23">
        <v>50319</v>
      </c>
      <c r="D18" s="23">
        <v>58991</v>
      </c>
      <c r="E18" s="23">
        <f>SUM(C18:D18)</f>
        <v>109310</v>
      </c>
      <c r="F18" s="23">
        <v>1057410</v>
      </c>
      <c r="G18" s="23">
        <v>22498</v>
      </c>
      <c r="H18" s="23">
        <f>SUM(F18:G18)</f>
        <v>1079908</v>
      </c>
      <c r="I18" s="23">
        <f>SUM(C18+F18)</f>
        <v>1107729</v>
      </c>
      <c r="J18" s="23">
        <f>SUM(D18+G18)</f>
        <v>81489</v>
      </c>
      <c r="K18" s="23">
        <f>SUM(E18+H18)</f>
        <v>1189218</v>
      </c>
    </row>
    <row r="19" spans="1:11" s="15" customFormat="1" ht="31.5" x14ac:dyDescent="0.25">
      <c r="A19" s="13" t="s">
        <v>288</v>
      </c>
      <c r="B19" s="13" t="s">
        <v>212</v>
      </c>
      <c r="C19" s="12">
        <f>SUM(C17+C18)</f>
        <v>4094493</v>
      </c>
      <c r="D19" s="12">
        <f t="shared" ref="D19:H19" si="6">SUM(D17+D18)</f>
        <v>88084</v>
      </c>
      <c r="E19" s="12">
        <f t="shared" si="6"/>
        <v>4182577</v>
      </c>
      <c r="F19" s="12">
        <f t="shared" si="6"/>
        <v>1057410</v>
      </c>
      <c r="G19" s="12">
        <f t="shared" si="6"/>
        <v>22498</v>
      </c>
      <c r="H19" s="12">
        <f t="shared" si="6"/>
        <v>1079908</v>
      </c>
      <c r="I19" s="12">
        <f>SUM(I17+I18)</f>
        <v>5151903</v>
      </c>
      <c r="J19" s="12">
        <f t="shared" ref="J19:K19" si="7">SUM(J17+J18)</f>
        <v>110582</v>
      </c>
      <c r="K19" s="12">
        <f t="shared" si="7"/>
        <v>5262485</v>
      </c>
    </row>
    <row r="20" spans="1:11" s="42" customFormat="1" ht="31.5" x14ac:dyDescent="0.25">
      <c r="A20" s="22" t="s">
        <v>289</v>
      </c>
      <c r="B20" s="243" t="s">
        <v>253</v>
      </c>
      <c r="C20" s="292">
        <v>0</v>
      </c>
      <c r="D20" s="292">
        <v>900000</v>
      </c>
      <c r="E20" s="292">
        <f>SUM(C20:D20)</f>
        <v>900000</v>
      </c>
      <c r="F20" s="292">
        <v>0</v>
      </c>
      <c r="G20" s="292"/>
      <c r="H20" s="292">
        <f>SUM(F20:G20)</f>
        <v>0</v>
      </c>
      <c r="I20" s="23">
        <f>SUM(C20+F20)</f>
        <v>0</v>
      </c>
      <c r="J20" s="23">
        <f t="shared" ref="J20:K21" si="8">SUM(D20+G20)</f>
        <v>900000</v>
      </c>
      <c r="K20" s="23">
        <f t="shared" si="8"/>
        <v>900000</v>
      </c>
    </row>
    <row r="21" spans="1:11" s="42" customFormat="1" ht="31.5" x14ac:dyDescent="0.25">
      <c r="A21" s="22" t="s">
        <v>291</v>
      </c>
      <c r="B21" s="243" t="s">
        <v>290</v>
      </c>
      <c r="C21" s="292">
        <v>15479240</v>
      </c>
      <c r="D21" s="292">
        <v>367483</v>
      </c>
      <c r="E21" s="292">
        <f>SUM(C21:D21)</f>
        <v>15846723</v>
      </c>
      <c r="F21" s="292">
        <v>0</v>
      </c>
      <c r="G21" s="292"/>
      <c r="H21" s="292">
        <f>SUM(F21:G21)</f>
        <v>0</v>
      </c>
      <c r="I21" s="23">
        <f>SUM(C21+F21)</f>
        <v>15479240</v>
      </c>
      <c r="J21" s="23">
        <f t="shared" si="8"/>
        <v>367483</v>
      </c>
      <c r="K21" s="23">
        <f t="shared" si="8"/>
        <v>15846723</v>
      </c>
    </row>
    <row r="22" spans="1:11" s="45" customFormat="1" ht="31.5" x14ac:dyDescent="0.25">
      <c r="A22" s="13" t="s">
        <v>292</v>
      </c>
      <c r="B22" s="47" t="s">
        <v>213</v>
      </c>
      <c r="C22" s="46">
        <f>SUM(C20+C21)</f>
        <v>15479240</v>
      </c>
      <c r="D22" s="46">
        <f t="shared" ref="D22:H22" si="9">SUM(D20+D21)</f>
        <v>1267483</v>
      </c>
      <c r="E22" s="46">
        <f t="shared" si="9"/>
        <v>16746723</v>
      </c>
      <c r="F22" s="46">
        <f t="shared" si="9"/>
        <v>0</v>
      </c>
      <c r="G22" s="46">
        <f t="shared" si="9"/>
        <v>0</v>
      </c>
      <c r="H22" s="46">
        <f t="shared" si="9"/>
        <v>0</v>
      </c>
      <c r="I22" s="46">
        <f>SUM(I20+I21)</f>
        <v>15479240</v>
      </c>
      <c r="J22" s="46">
        <f t="shared" ref="J22:K22" si="10">SUM(J20+J21)</f>
        <v>1267483</v>
      </c>
      <c r="K22" s="46">
        <f t="shared" si="10"/>
        <v>16746723</v>
      </c>
    </row>
    <row r="23" spans="1:11" ht="31.5" x14ac:dyDescent="0.25">
      <c r="A23" s="16" t="s">
        <v>293</v>
      </c>
      <c r="B23" s="16" t="s">
        <v>255</v>
      </c>
      <c r="C23" s="21">
        <v>200</v>
      </c>
      <c r="D23" s="21"/>
      <c r="E23" s="21">
        <f>SUM(C23:D23)</f>
        <v>200</v>
      </c>
      <c r="F23" s="18">
        <v>0</v>
      </c>
      <c r="G23" s="18"/>
      <c r="H23" s="18">
        <f>SUM(F23:G23)</f>
        <v>0</v>
      </c>
      <c r="I23" s="12">
        <f>SUM(F23+C23)</f>
        <v>200</v>
      </c>
      <c r="J23" s="12">
        <f t="shared" ref="J23:K23" si="11">SUM(G23+D23)</f>
        <v>0</v>
      </c>
      <c r="K23" s="12">
        <f t="shared" si="11"/>
        <v>200</v>
      </c>
    </row>
    <row r="24" spans="1:11" s="42" customFormat="1" x14ac:dyDescent="0.25">
      <c r="A24" s="22" t="s">
        <v>294</v>
      </c>
      <c r="B24" s="22" t="s">
        <v>254</v>
      </c>
      <c r="C24" s="23">
        <f>SUM(C23)</f>
        <v>200</v>
      </c>
      <c r="D24" s="23">
        <f t="shared" ref="D24:H24" si="12">SUM(D23)</f>
        <v>0</v>
      </c>
      <c r="E24" s="23">
        <f t="shared" si="12"/>
        <v>200</v>
      </c>
      <c r="F24" s="23">
        <f t="shared" si="12"/>
        <v>0</v>
      </c>
      <c r="G24" s="23">
        <f t="shared" si="12"/>
        <v>0</v>
      </c>
      <c r="H24" s="23">
        <f t="shared" si="12"/>
        <v>0</v>
      </c>
      <c r="I24" s="23">
        <f>SUM(I23)</f>
        <v>200</v>
      </c>
      <c r="J24" s="23">
        <f t="shared" ref="J24:K24" si="13">SUM(J23)</f>
        <v>0</v>
      </c>
      <c r="K24" s="23">
        <f t="shared" si="13"/>
        <v>200</v>
      </c>
    </row>
    <row r="25" spans="1:11" x14ac:dyDescent="0.25">
      <c r="A25" s="16" t="s">
        <v>471</v>
      </c>
      <c r="B25" s="16" t="s">
        <v>256</v>
      </c>
      <c r="C25" s="21">
        <v>1800000</v>
      </c>
      <c r="D25" s="21"/>
      <c r="E25" s="21">
        <f>SUM(C25:D25)</f>
        <v>1800000</v>
      </c>
      <c r="F25" s="21">
        <v>0</v>
      </c>
      <c r="G25" s="21"/>
      <c r="H25" s="21">
        <f>SUM(F25:G25)</f>
        <v>0</v>
      </c>
      <c r="I25" s="12">
        <f>SUM(F25+C25)</f>
        <v>1800000</v>
      </c>
      <c r="J25" s="12">
        <f t="shared" ref="J25:K25" si="14">SUM(G25+D25)</f>
        <v>0</v>
      </c>
      <c r="K25" s="12">
        <f t="shared" si="14"/>
        <v>1800000</v>
      </c>
    </row>
    <row r="26" spans="1:11" s="25" customFormat="1" x14ac:dyDescent="0.25">
      <c r="A26" s="22" t="s">
        <v>398</v>
      </c>
      <c r="B26" s="22" t="s">
        <v>256</v>
      </c>
      <c r="C26" s="23">
        <f>SUM(C25:C25)</f>
        <v>1800000</v>
      </c>
      <c r="D26" s="23">
        <f t="shared" ref="D26:H26" si="15">SUM(D25:D25)</f>
        <v>0</v>
      </c>
      <c r="E26" s="23">
        <f t="shared" si="15"/>
        <v>1800000</v>
      </c>
      <c r="F26" s="23">
        <f t="shared" si="15"/>
        <v>0</v>
      </c>
      <c r="G26" s="23">
        <f t="shared" si="15"/>
        <v>0</v>
      </c>
      <c r="H26" s="23">
        <f t="shared" si="15"/>
        <v>0</v>
      </c>
      <c r="I26" s="23">
        <f>SUM(I25:I25)</f>
        <v>1800000</v>
      </c>
      <c r="J26" s="23">
        <f t="shared" ref="J26:K26" si="16">SUM(J25:J25)</f>
        <v>0</v>
      </c>
      <c r="K26" s="23">
        <f t="shared" si="16"/>
        <v>1800000</v>
      </c>
    </row>
    <row r="27" spans="1:11" x14ac:dyDescent="0.25">
      <c r="A27" s="16" t="s">
        <v>399</v>
      </c>
      <c r="B27" s="16" t="s">
        <v>257</v>
      </c>
      <c r="C27" s="21">
        <v>12700000</v>
      </c>
      <c r="D27" s="21"/>
      <c r="E27" s="21">
        <f>SUM(C27:D27)</f>
        <v>12700000</v>
      </c>
      <c r="F27" s="21">
        <v>0</v>
      </c>
      <c r="G27" s="21"/>
      <c r="H27" s="21">
        <f>SUM(F27:G27)</f>
        <v>0</v>
      </c>
      <c r="I27" s="12">
        <f>SUM(F27+C27)</f>
        <v>12700000</v>
      </c>
      <c r="J27" s="12">
        <f t="shared" ref="J27:K27" si="17">SUM(G27+D27)</f>
        <v>0</v>
      </c>
      <c r="K27" s="12">
        <f t="shared" si="17"/>
        <v>12700000</v>
      </c>
    </row>
    <row r="28" spans="1:11" s="42" customFormat="1" x14ac:dyDescent="0.25">
      <c r="A28" s="22" t="s">
        <v>400</v>
      </c>
      <c r="B28" s="22" t="s">
        <v>257</v>
      </c>
      <c r="C28" s="23">
        <f>SUM(C27)</f>
        <v>12700000</v>
      </c>
      <c r="D28" s="23">
        <f t="shared" ref="D28:H28" si="18">SUM(D27)</f>
        <v>0</v>
      </c>
      <c r="E28" s="23">
        <f t="shared" si="18"/>
        <v>12700000</v>
      </c>
      <c r="F28" s="23">
        <f t="shared" si="18"/>
        <v>0</v>
      </c>
      <c r="G28" s="23">
        <f t="shared" si="18"/>
        <v>0</v>
      </c>
      <c r="H28" s="23">
        <f t="shared" si="18"/>
        <v>0</v>
      </c>
      <c r="I28" s="23">
        <f>SUM(I27)</f>
        <v>12700000</v>
      </c>
      <c r="J28" s="23">
        <f t="shared" ref="J28:K28" si="19">SUM(J27)</f>
        <v>0</v>
      </c>
      <c r="K28" s="23">
        <f t="shared" si="19"/>
        <v>12700000</v>
      </c>
    </row>
    <row r="29" spans="1:11" s="42" customFormat="1" x14ac:dyDescent="0.25">
      <c r="A29" s="22" t="s">
        <v>401</v>
      </c>
      <c r="B29" s="22" t="s">
        <v>258</v>
      </c>
      <c r="C29" s="23">
        <v>350000</v>
      </c>
      <c r="D29" s="23"/>
      <c r="E29" s="23">
        <f>SUM(C29:D29)</f>
        <v>350000</v>
      </c>
      <c r="F29" s="30">
        <v>0</v>
      </c>
      <c r="G29" s="30"/>
      <c r="H29" s="30">
        <f>SUM(F29:G29)</f>
        <v>0</v>
      </c>
      <c r="I29" s="23">
        <f>SUM(F29+C29)</f>
        <v>350000</v>
      </c>
      <c r="J29" s="23">
        <f t="shared" ref="J29:K31" si="20">SUM(G29+D29)</f>
        <v>0</v>
      </c>
      <c r="K29" s="23">
        <f t="shared" si="20"/>
        <v>350000</v>
      </c>
    </row>
    <row r="30" spans="1:11" s="15" customFormat="1" x14ac:dyDescent="0.25">
      <c r="A30" s="16" t="s">
        <v>402</v>
      </c>
      <c r="B30" s="16" t="s">
        <v>259</v>
      </c>
      <c r="C30" s="11">
        <v>10000</v>
      </c>
      <c r="D30" s="11"/>
      <c r="E30" s="11">
        <f>SUM(C30:D30)</f>
        <v>10000</v>
      </c>
      <c r="F30" s="11">
        <v>0</v>
      </c>
      <c r="G30" s="11"/>
      <c r="H30" s="11">
        <f>SUM(F30:G30)</f>
        <v>0</v>
      </c>
      <c r="I30" s="11">
        <f>SUM(F30+C30)</f>
        <v>10000</v>
      </c>
      <c r="J30" s="11">
        <f t="shared" si="20"/>
        <v>0</v>
      </c>
      <c r="K30" s="11">
        <f t="shared" si="20"/>
        <v>10000</v>
      </c>
    </row>
    <row r="31" spans="1:11" x14ac:dyDescent="0.25">
      <c r="A31" s="16" t="s">
        <v>403</v>
      </c>
      <c r="B31" s="16" t="s">
        <v>259</v>
      </c>
      <c r="C31" s="21">
        <v>46000</v>
      </c>
      <c r="D31" s="21"/>
      <c r="E31" s="11">
        <f>SUM(C31:D31)</f>
        <v>46000</v>
      </c>
      <c r="F31" s="21">
        <v>0</v>
      </c>
      <c r="G31" s="21"/>
      <c r="H31" s="21">
        <f>SUM(F31:G31)</f>
        <v>0</v>
      </c>
      <c r="I31" s="12">
        <f>SUM(F31+C31)</f>
        <v>46000</v>
      </c>
      <c r="J31" s="12">
        <f t="shared" si="20"/>
        <v>0</v>
      </c>
      <c r="K31" s="12">
        <f t="shared" si="20"/>
        <v>46000</v>
      </c>
    </row>
    <row r="32" spans="1:11" s="42" customFormat="1" ht="31.5" x14ac:dyDescent="0.25">
      <c r="A32" s="22" t="s">
        <v>404</v>
      </c>
      <c r="B32" s="22" t="s">
        <v>259</v>
      </c>
      <c r="C32" s="23">
        <f>SUM(C30:C31)</f>
        <v>56000</v>
      </c>
      <c r="D32" s="23">
        <f t="shared" ref="D32:H32" si="21">SUM(D30:D31)</f>
        <v>0</v>
      </c>
      <c r="E32" s="23">
        <f t="shared" si="21"/>
        <v>56000</v>
      </c>
      <c r="F32" s="23">
        <f t="shared" si="21"/>
        <v>0</v>
      </c>
      <c r="G32" s="23">
        <f t="shared" si="21"/>
        <v>0</v>
      </c>
      <c r="H32" s="23">
        <f t="shared" si="21"/>
        <v>0</v>
      </c>
      <c r="I32" s="23">
        <f>SUM(I30:I31)</f>
        <v>56000</v>
      </c>
      <c r="J32" s="23">
        <f t="shared" ref="J32:K32" si="22">SUM(J30:J31)</f>
        <v>0</v>
      </c>
      <c r="K32" s="23">
        <f t="shared" si="22"/>
        <v>56000</v>
      </c>
    </row>
    <row r="33" spans="1:11" s="42" customFormat="1" ht="31.5" x14ac:dyDescent="0.25">
      <c r="A33" s="22" t="s">
        <v>405</v>
      </c>
      <c r="B33" s="22" t="s">
        <v>260</v>
      </c>
      <c r="C33" s="23">
        <f>SUM(C32+C29+C28)</f>
        <v>13106000</v>
      </c>
      <c r="D33" s="23">
        <f t="shared" ref="D33:H33" si="23">SUM(D32+D29+D28)</f>
        <v>0</v>
      </c>
      <c r="E33" s="23">
        <f t="shared" si="23"/>
        <v>13106000</v>
      </c>
      <c r="F33" s="23">
        <f t="shared" si="23"/>
        <v>0</v>
      </c>
      <c r="G33" s="23">
        <f t="shared" si="23"/>
        <v>0</v>
      </c>
      <c r="H33" s="23">
        <f t="shared" si="23"/>
        <v>0</v>
      </c>
      <c r="I33" s="23">
        <f>SUM(I32+I29+I28)</f>
        <v>13106000</v>
      </c>
      <c r="J33" s="23">
        <f t="shared" ref="J33:K33" si="24">SUM(J32+J29+J28)</f>
        <v>0</v>
      </c>
      <c r="K33" s="23">
        <f t="shared" si="24"/>
        <v>13106000</v>
      </c>
    </row>
    <row r="34" spans="1:11" s="15" customFormat="1" x14ac:dyDescent="0.25">
      <c r="A34" s="16" t="s">
        <v>406</v>
      </c>
      <c r="B34" s="16" t="s">
        <v>261</v>
      </c>
      <c r="C34" s="18">
        <v>0</v>
      </c>
      <c r="D34" s="18"/>
      <c r="E34" s="18">
        <f>SUM(C34:D34)</f>
        <v>0</v>
      </c>
      <c r="F34" s="18">
        <v>989</v>
      </c>
      <c r="G34" s="18"/>
      <c r="H34" s="18">
        <f>SUM(F34:G34)</f>
        <v>989</v>
      </c>
      <c r="I34" s="11">
        <f t="shared" ref="I34:I39" si="25">SUM(F34+C34)</f>
        <v>989</v>
      </c>
      <c r="J34" s="11">
        <f t="shared" ref="J34:J39" si="26">SUM(G34+D34)</f>
        <v>0</v>
      </c>
      <c r="K34" s="11">
        <f t="shared" ref="K34:K39" si="27">SUM(H34+E34)</f>
        <v>989</v>
      </c>
    </row>
    <row r="35" spans="1:11" s="15" customFormat="1" x14ac:dyDescent="0.25">
      <c r="A35" s="16" t="s">
        <v>407</v>
      </c>
      <c r="B35" s="16" t="s">
        <v>261</v>
      </c>
      <c r="C35" s="11">
        <v>714</v>
      </c>
      <c r="D35" s="11"/>
      <c r="E35" s="18">
        <f t="shared" ref="E35:E39" si="28">SUM(C35:D35)</f>
        <v>714</v>
      </c>
      <c r="F35" s="11">
        <v>0</v>
      </c>
      <c r="G35" s="11"/>
      <c r="H35" s="18">
        <f t="shared" ref="H35:H39" si="29">SUM(F35:G35)</f>
        <v>0</v>
      </c>
      <c r="I35" s="11">
        <f t="shared" si="25"/>
        <v>714</v>
      </c>
      <c r="J35" s="11">
        <f t="shared" si="26"/>
        <v>0</v>
      </c>
      <c r="K35" s="11">
        <f t="shared" si="27"/>
        <v>714</v>
      </c>
    </row>
    <row r="36" spans="1:11" s="15" customFormat="1" x14ac:dyDescent="0.25">
      <c r="A36" s="16" t="s">
        <v>408</v>
      </c>
      <c r="B36" s="16" t="s">
        <v>261</v>
      </c>
      <c r="C36" s="11">
        <v>0</v>
      </c>
      <c r="D36" s="11"/>
      <c r="E36" s="18">
        <f t="shared" si="28"/>
        <v>0</v>
      </c>
      <c r="F36" s="11">
        <v>0</v>
      </c>
      <c r="G36" s="11"/>
      <c r="H36" s="18">
        <f t="shared" si="29"/>
        <v>0</v>
      </c>
      <c r="I36" s="11">
        <f t="shared" si="25"/>
        <v>0</v>
      </c>
      <c r="J36" s="11">
        <f t="shared" si="26"/>
        <v>0</v>
      </c>
      <c r="K36" s="11">
        <f t="shared" si="27"/>
        <v>0</v>
      </c>
    </row>
    <row r="37" spans="1:11" s="15" customFormat="1" x14ac:dyDescent="0.25">
      <c r="A37" s="16" t="s">
        <v>409</v>
      </c>
      <c r="B37" s="16" t="s">
        <v>261</v>
      </c>
      <c r="C37" s="230">
        <v>50000</v>
      </c>
      <c r="D37" s="230"/>
      <c r="E37" s="18">
        <f t="shared" si="28"/>
        <v>50000</v>
      </c>
      <c r="F37" s="11">
        <v>0</v>
      </c>
      <c r="G37" s="11"/>
      <c r="H37" s="18">
        <f t="shared" si="29"/>
        <v>0</v>
      </c>
      <c r="I37" s="11">
        <f t="shared" si="25"/>
        <v>50000</v>
      </c>
      <c r="J37" s="11">
        <f t="shared" si="26"/>
        <v>0</v>
      </c>
      <c r="K37" s="11">
        <f t="shared" si="27"/>
        <v>50000</v>
      </c>
    </row>
    <row r="38" spans="1:11" s="15" customFormat="1" ht="31.5" x14ac:dyDescent="0.25">
      <c r="A38" s="16" t="s">
        <v>410</v>
      </c>
      <c r="B38" s="16" t="s">
        <v>261</v>
      </c>
      <c r="C38" s="230">
        <v>85146</v>
      </c>
      <c r="D38" s="230"/>
      <c r="E38" s="18">
        <f t="shared" si="28"/>
        <v>85146</v>
      </c>
      <c r="F38" s="11">
        <v>0</v>
      </c>
      <c r="G38" s="11"/>
      <c r="H38" s="18">
        <f t="shared" si="29"/>
        <v>0</v>
      </c>
      <c r="I38" s="11">
        <f t="shared" si="25"/>
        <v>85146</v>
      </c>
      <c r="J38" s="11">
        <f t="shared" si="26"/>
        <v>0</v>
      </c>
      <c r="K38" s="11">
        <f t="shared" si="27"/>
        <v>85146</v>
      </c>
    </row>
    <row r="39" spans="1:11" s="15" customFormat="1" x14ac:dyDescent="0.25">
      <c r="A39" s="16" t="s">
        <v>411</v>
      </c>
      <c r="B39" s="16" t="s">
        <v>261</v>
      </c>
      <c r="C39" s="230">
        <v>5000</v>
      </c>
      <c r="D39" s="230"/>
      <c r="E39" s="18">
        <f t="shared" si="28"/>
        <v>5000</v>
      </c>
      <c r="F39" s="11">
        <v>0</v>
      </c>
      <c r="G39" s="11"/>
      <c r="H39" s="18">
        <f t="shared" si="29"/>
        <v>0</v>
      </c>
      <c r="I39" s="11">
        <f t="shared" si="25"/>
        <v>5000</v>
      </c>
      <c r="J39" s="11">
        <f t="shared" si="26"/>
        <v>0</v>
      </c>
      <c r="K39" s="11">
        <f t="shared" si="27"/>
        <v>5000</v>
      </c>
    </row>
    <row r="40" spans="1:11" s="42" customFormat="1" ht="31.5" x14ac:dyDescent="0.25">
      <c r="A40" s="22" t="s">
        <v>412</v>
      </c>
      <c r="B40" s="22" t="s">
        <v>261</v>
      </c>
      <c r="C40" s="23">
        <f>SUM(C34:C39)</f>
        <v>140860</v>
      </c>
      <c r="D40" s="23">
        <f t="shared" ref="D40:H40" si="30">SUM(D34:D39)</f>
        <v>0</v>
      </c>
      <c r="E40" s="23">
        <f t="shared" si="30"/>
        <v>140860</v>
      </c>
      <c r="F40" s="23">
        <f t="shared" si="30"/>
        <v>989</v>
      </c>
      <c r="G40" s="23">
        <f t="shared" si="30"/>
        <v>0</v>
      </c>
      <c r="H40" s="23">
        <f t="shared" si="30"/>
        <v>989</v>
      </c>
      <c r="I40" s="23">
        <f>SUM(I34:I39)</f>
        <v>141849</v>
      </c>
      <c r="J40" s="23">
        <f t="shared" ref="J40:K40" si="31">SUM(J34:J39)</f>
        <v>0</v>
      </c>
      <c r="K40" s="23">
        <f t="shared" si="31"/>
        <v>141849</v>
      </c>
    </row>
    <row r="41" spans="1:11" s="15" customFormat="1" ht="31.5" x14ac:dyDescent="0.25">
      <c r="A41" s="13" t="s">
        <v>413</v>
      </c>
      <c r="B41" s="13" t="s">
        <v>214</v>
      </c>
      <c r="C41" s="14">
        <f>SUM(C24+C26+C33+C40)</f>
        <v>15047060</v>
      </c>
      <c r="D41" s="14">
        <f t="shared" ref="D41:H41" si="32">SUM(D24+D26+D33+D40)</f>
        <v>0</v>
      </c>
      <c r="E41" s="14">
        <f t="shared" si="32"/>
        <v>15047060</v>
      </c>
      <c r="F41" s="14">
        <f t="shared" si="32"/>
        <v>989</v>
      </c>
      <c r="G41" s="14">
        <f t="shared" si="32"/>
        <v>0</v>
      </c>
      <c r="H41" s="14">
        <f t="shared" si="32"/>
        <v>989</v>
      </c>
      <c r="I41" s="14">
        <f>SUM(I24+I26+I33+I40)</f>
        <v>15048049</v>
      </c>
      <c r="J41" s="14">
        <f t="shared" ref="J41:K41" si="33">SUM(J24+J26+J33+J40)</f>
        <v>0</v>
      </c>
      <c r="K41" s="14">
        <f t="shared" si="33"/>
        <v>15048049</v>
      </c>
    </row>
    <row r="42" spans="1:11" s="15" customFormat="1" x14ac:dyDescent="0.25">
      <c r="A42" s="13" t="s">
        <v>414</v>
      </c>
      <c r="B42" s="13" t="s">
        <v>215</v>
      </c>
      <c r="C42" s="14">
        <v>3528118</v>
      </c>
      <c r="D42" s="14">
        <v>1586</v>
      </c>
      <c r="E42" s="14">
        <f>SUM(C42:D42)</f>
        <v>3529704</v>
      </c>
      <c r="F42" s="14">
        <v>1580990</v>
      </c>
      <c r="G42" s="14"/>
      <c r="H42" s="14">
        <f>SUM(F42:G42)</f>
        <v>1580990</v>
      </c>
      <c r="I42" s="14">
        <f t="shared" ref="I42:K43" si="34">SUM(C42+F42)</f>
        <v>5109108</v>
      </c>
      <c r="J42" s="14">
        <f t="shared" si="34"/>
        <v>1586</v>
      </c>
      <c r="K42" s="14">
        <f t="shared" si="34"/>
        <v>5110694</v>
      </c>
    </row>
    <row r="43" spans="1:11" s="15" customFormat="1" x14ac:dyDescent="0.25">
      <c r="A43" s="16" t="s">
        <v>270</v>
      </c>
      <c r="B43" s="16" t="s">
        <v>262</v>
      </c>
      <c r="C43" s="18">
        <v>388859</v>
      </c>
      <c r="D43" s="18"/>
      <c r="E43" s="18">
        <f>SUM(C43:D43)</f>
        <v>388859</v>
      </c>
      <c r="F43" s="558">
        <v>0</v>
      </c>
      <c r="G43" s="559"/>
      <c r="H43" s="559">
        <f>SUM(F43:G43)</f>
        <v>0</v>
      </c>
      <c r="I43" s="19">
        <f t="shared" si="34"/>
        <v>388859</v>
      </c>
      <c r="J43" s="19">
        <f t="shared" si="34"/>
        <v>0</v>
      </c>
      <c r="K43" s="19">
        <f t="shared" si="34"/>
        <v>388859</v>
      </c>
    </row>
    <row r="44" spans="1:11" s="15" customFormat="1" ht="31.5" x14ac:dyDescent="0.25">
      <c r="A44" s="231" t="s">
        <v>271</v>
      </c>
      <c r="B44" s="16" t="s">
        <v>272</v>
      </c>
      <c r="C44" s="230">
        <v>2576450</v>
      </c>
      <c r="D44" s="230">
        <v>1586</v>
      </c>
      <c r="E44" s="18">
        <f t="shared" ref="E44:E46" si="35">SUM(C44:D44)</f>
        <v>2578036</v>
      </c>
      <c r="F44" s="230">
        <v>470957</v>
      </c>
      <c r="G44" s="540"/>
      <c r="H44" s="559">
        <f t="shared" ref="H44:H46" si="36">SUM(F44:G44)</f>
        <v>470957</v>
      </c>
      <c r="I44" s="19">
        <f t="shared" ref="I44:I46" si="37">SUM(C44+F44)</f>
        <v>3047407</v>
      </c>
      <c r="J44" s="19">
        <f t="shared" ref="J44:J46" si="38">SUM(D44+G44)</f>
        <v>1586</v>
      </c>
      <c r="K44" s="19">
        <f t="shared" ref="K44:K46" si="39">SUM(E44+H44)</f>
        <v>3048993</v>
      </c>
    </row>
    <row r="45" spans="1:11" x14ac:dyDescent="0.25">
      <c r="A45" s="229" t="s">
        <v>273</v>
      </c>
      <c r="B45" s="16" t="s">
        <v>263</v>
      </c>
      <c r="C45" s="11">
        <v>100000</v>
      </c>
      <c r="D45" s="11"/>
      <c r="E45" s="18">
        <f t="shared" si="35"/>
        <v>100000</v>
      </c>
      <c r="F45" s="11">
        <v>1100</v>
      </c>
      <c r="G45" s="10"/>
      <c r="H45" s="559">
        <f t="shared" si="36"/>
        <v>1100</v>
      </c>
      <c r="I45" s="19">
        <f t="shared" si="37"/>
        <v>101100</v>
      </c>
      <c r="J45" s="19">
        <f t="shared" si="38"/>
        <v>0</v>
      </c>
      <c r="K45" s="19">
        <f t="shared" si="39"/>
        <v>101100</v>
      </c>
    </row>
    <row r="46" spans="1:11" ht="30.75" customHeight="1" x14ac:dyDescent="0.25">
      <c r="A46" s="39" t="s">
        <v>415</v>
      </c>
      <c r="B46" s="39" t="s">
        <v>264</v>
      </c>
      <c r="C46" s="40">
        <v>145010</v>
      </c>
      <c r="D46" s="40"/>
      <c r="E46" s="18">
        <f t="shared" si="35"/>
        <v>145010</v>
      </c>
      <c r="F46" s="40">
        <v>0</v>
      </c>
      <c r="G46" s="40"/>
      <c r="H46" s="559">
        <f t="shared" si="36"/>
        <v>0</v>
      </c>
      <c r="I46" s="19">
        <f t="shared" si="37"/>
        <v>145010</v>
      </c>
      <c r="J46" s="19">
        <f t="shared" si="38"/>
        <v>0</v>
      </c>
      <c r="K46" s="19">
        <f t="shared" si="39"/>
        <v>145010</v>
      </c>
    </row>
    <row r="47" spans="1:11" s="15" customFormat="1" x14ac:dyDescent="0.25">
      <c r="A47" s="233" t="s">
        <v>416</v>
      </c>
      <c r="B47" s="233" t="s">
        <v>216</v>
      </c>
      <c r="C47" s="12">
        <f>SUM(C46:C46)</f>
        <v>145010</v>
      </c>
      <c r="D47" s="12">
        <f t="shared" ref="D47:H47" si="40">SUM(D46:D46)</f>
        <v>0</v>
      </c>
      <c r="E47" s="12">
        <f t="shared" si="40"/>
        <v>145010</v>
      </c>
      <c r="F47" s="12">
        <f t="shared" si="40"/>
        <v>0</v>
      </c>
      <c r="G47" s="12">
        <f t="shared" si="40"/>
        <v>0</v>
      </c>
      <c r="H47" s="12">
        <f t="shared" si="40"/>
        <v>0</v>
      </c>
      <c r="I47" s="12">
        <f>SUM(I46:I46)</f>
        <v>145010</v>
      </c>
      <c r="J47" s="12">
        <f t="shared" ref="J47:K47" si="41">SUM(J46:J46)</f>
        <v>0</v>
      </c>
      <c r="K47" s="12">
        <f t="shared" si="41"/>
        <v>145010</v>
      </c>
    </row>
    <row r="48" spans="1:11" s="15" customFormat="1" x14ac:dyDescent="0.25">
      <c r="A48" s="34" t="s">
        <v>430</v>
      </c>
      <c r="B48" s="34" t="s">
        <v>217</v>
      </c>
      <c r="C48" s="36">
        <v>152132</v>
      </c>
      <c r="D48" s="36">
        <v>1030</v>
      </c>
      <c r="E48" s="36">
        <f>SUM(C48:D48)</f>
        <v>153162</v>
      </c>
      <c r="F48" s="36">
        <v>155222</v>
      </c>
      <c r="G48" s="36">
        <v>7997</v>
      </c>
      <c r="H48" s="36">
        <f>SUM(F48:G48)</f>
        <v>163219</v>
      </c>
      <c r="I48" s="12">
        <f>SUM(C48+F48)</f>
        <v>307354</v>
      </c>
      <c r="J48" s="12">
        <f t="shared" ref="J48:K49" si="42">SUM(D48+G48)</f>
        <v>9027</v>
      </c>
      <c r="K48" s="12">
        <f t="shared" si="42"/>
        <v>316381</v>
      </c>
    </row>
    <row r="49" spans="1:11" s="15" customFormat="1" ht="16.5" thickBot="1" x14ac:dyDescent="0.3">
      <c r="A49" s="47" t="s">
        <v>431</v>
      </c>
      <c r="B49" s="47" t="s">
        <v>218</v>
      </c>
      <c r="C49" s="260">
        <v>452806</v>
      </c>
      <c r="D49" s="260"/>
      <c r="E49" s="36">
        <f>SUM(C49:D49)</f>
        <v>452806</v>
      </c>
      <c r="F49" s="260">
        <v>0</v>
      </c>
      <c r="G49" s="260"/>
      <c r="H49" s="36">
        <f>SUM(F49:G49)</f>
        <v>0</v>
      </c>
      <c r="I49" s="46">
        <f>SUM(C49+F49)</f>
        <v>452806</v>
      </c>
      <c r="J49" s="46">
        <f t="shared" si="42"/>
        <v>0</v>
      </c>
      <c r="K49" s="46">
        <f t="shared" si="42"/>
        <v>452806</v>
      </c>
    </row>
    <row r="50" spans="1:11" s="15" customFormat="1" ht="33" thickTop="1" thickBot="1" x14ac:dyDescent="0.3">
      <c r="A50" s="48" t="s">
        <v>603</v>
      </c>
      <c r="B50" s="48"/>
      <c r="C50" s="51">
        <f>SUM(C48+C42+C41+C19)</f>
        <v>22821803</v>
      </c>
      <c r="D50" s="51">
        <f t="shared" ref="D50:H50" si="43">SUM(D48+D42+D41+D19)</f>
        <v>90700</v>
      </c>
      <c r="E50" s="51">
        <f t="shared" si="43"/>
        <v>22912503</v>
      </c>
      <c r="F50" s="51">
        <f t="shared" si="43"/>
        <v>2794611</v>
      </c>
      <c r="G50" s="51">
        <f t="shared" si="43"/>
        <v>30495</v>
      </c>
      <c r="H50" s="51">
        <f t="shared" si="43"/>
        <v>2825106</v>
      </c>
      <c r="I50" s="51">
        <f>SUM(I48+I42+I41+I19)</f>
        <v>25616414</v>
      </c>
      <c r="J50" s="51">
        <f t="shared" ref="J50:K50" si="44">SUM(J48+J42+J41+J19)</f>
        <v>121195</v>
      </c>
      <c r="K50" s="51">
        <f t="shared" si="44"/>
        <v>25737609</v>
      </c>
    </row>
    <row r="51" spans="1:11" s="15" customFormat="1" ht="33" thickTop="1" thickBot="1" x14ac:dyDescent="0.3">
      <c r="A51" s="48" t="s">
        <v>604</v>
      </c>
      <c r="B51" s="48"/>
      <c r="C51" s="51">
        <f>SUM(C22+C49+C47)</f>
        <v>16077056</v>
      </c>
      <c r="D51" s="51">
        <f t="shared" ref="D51:H51" si="45">SUM(D22+D49+D47)</f>
        <v>1267483</v>
      </c>
      <c r="E51" s="51">
        <f t="shared" si="45"/>
        <v>17344539</v>
      </c>
      <c r="F51" s="51">
        <f t="shared" si="45"/>
        <v>0</v>
      </c>
      <c r="G51" s="51">
        <f t="shared" si="45"/>
        <v>0</v>
      </c>
      <c r="H51" s="51">
        <f t="shared" si="45"/>
        <v>0</v>
      </c>
      <c r="I51" s="51">
        <f>SUM(I22+I49+I47)</f>
        <v>16077056</v>
      </c>
      <c r="J51" s="51">
        <f t="shared" ref="J51:K51" si="46">SUM(J22+J49+J47)</f>
        <v>1267483</v>
      </c>
      <c r="K51" s="51">
        <f t="shared" si="46"/>
        <v>17344539</v>
      </c>
    </row>
    <row r="52" spans="1:11" ht="33" thickTop="1" thickBot="1" x14ac:dyDescent="0.3">
      <c r="A52" s="48" t="s">
        <v>605</v>
      </c>
      <c r="B52" s="48" t="s">
        <v>349</v>
      </c>
      <c r="C52" s="38">
        <f>SUM(C50+C51)</f>
        <v>38898859</v>
      </c>
      <c r="D52" s="38">
        <f t="shared" ref="D52:H52" si="47">SUM(D50+D51)</f>
        <v>1358183</v>
      </c>
      <c r="E52" s="38">
        <f t="shared" si="47"/>
        <v>40257042</v>
      </c>
      <c r="F52" s="38">
        <f t="shared" si="47"/>
        <v>2794611</v>
      </c>
      <c r="G52" s="38">
        <f t="shared" si="47"/>
        <v>30495</v>
      </c>
      <c r="H52" s="38">
        <f t="shared" si="47"/>
        <v>2825106</v>
      </c>
      <c r="I52" s="38">
        <f>SUM(I50+I51)</f>
        <v>41693470</v>
      </c>
      <c r="J52" s="38">
        <f t="shared" ref="J52:K52" si="48">SUM(J50+J51)</f>
        <v>1388678</v>
      </c>
      <c r="K52" s="38">
        <f t="shared" si="48"/>
        <v>43082148</v>
      </c>
    </row>
    <row r="53" spans="1:11" ht="15.75" customHeight="1" thickTop="1" thickBot="1" x14ac:dyDescent="0.3">
      <c r="A53" s="53"/>
      <c r="B53" s="227"/>
      <c r="C53" s="54"/>
      <c r="D53" s="54"/>
      <c r="E53" s="54"/>
      <c r="F53" s="54"/>
      <c r="G53" s="54"/>
      <c r="H53" s="54"/>
      <c r="I53" s="55"/>
      <c r="J53" s="55"/>
      <c r="K53" s="55"/>
    </row>
    <row r="54" spans="1:11" ht="32.25" thickTop="1" x14ac:dyDescent="0.25">
      <c r="A54" s="56" t="s">
        <v>421</v>
      </c>
      <c r="B54" s="56"/>
      <c r="C54" s="409">
        <f>SUM(C55-C56)</f>
        <v>-827685</v>
      </c>
      <c r="D54" s="410">
        <f t="shared" ref="D54:H54" si="49">SUM(D55-D56)</f>
        <v>152679</v>
      </c>
      <c r="E54" s="409">
        <f t="shared" si="49"/>
        <v>-675006</v>
      </c>
      <c r="F54" s="557">
        <f t="shared" si="49"/>
        <v>-9769380</v>
      </c>
      <c r="G54" s="410">
        <f t="shared" si="49"/>
        <v>-152679</v>
      </c>
      <c r="H54" s="421">
        <f t="shared" si="49"/>
        <v>-9922059</v>
      </c>
      <c r="I54" s="551">
        <f>SUM(I55-I56)</f>
        <v>-10597065</v>
      </c>
      <c r="J54" s="421">
        <f t="shared" ref="J54:K54" si="50">SUM(J55-J56)</f>
        <v>0</v>
      </c>
      <c r="K54" s="421">
        <f t="shared" si="50"/>
        <v>-10597065</v>
      </c>
    </row>
    <row r="55" spans="1:11" s="25" customFormat="1" x14ac:dyDescent="0.25">
      <c r="A55" s="379" t="s">
        <v>275</v>
      </c>
      <c r="B55" s="379" t="s">
        <v>349</v>
      </c>
      <c r="C55" s="411">
        <f>SUM(C52)</f>
        <v>38898859</v>
      </c>
      <c r="D55" s="412">
        <f t="shared" ref="D55:H55" si="51">SUM(D52)</f>
        <v>1358183</v>
      </c>
      <c r="E55" s="422">
        <f t="shared" si="51"/>
        <v>40257042</v>
      </c>
      <c r="F55" s="411">
        <f t="shared" si="51"/>
        <v>2794611</v>
      </c>
      <c r="G55" s="412">
        <f t="shared" si="51"/>
        <v>30495</v>
      </c>
      <c r="H55" s="422">
        <f t="shared" si="51"/>
        <v>2825106</v>
      </c>
      <c r="I55" s="552">
        <f>SUM(I52)</f>
        <v>41693470</v>
      </c>
      <c r="J55" s="422">
        <f t="shared" ref="J55:K55" si="52">SUM(J52)</f>
        <v>1388678</v>
      </c>
      <c r="K55" s="422">
        <f t="shared" si="52"/>
        <v>43082148</v>
      </c>
    </row>
    <row r="56" spans="1:11" s="25" customFormat="1" x14ac:dyDescent="0.25">
      <c r="A56" s="379" t="s">
        <v>276</v>
      </c>
      <c r="B56" s="379" t="s">
        <v>345</v>
      </c>
      <c r="C56" s="413">
        <f>'4 kiadás(szűkített)'!C22</f>
        <v>39726544</v>
      </c>
      <c r="D56" s="414">
        <f>'4 kiadás(szűkített)'!D22</f>
        <v>1205504</v>
      </c>
      <c r="E56" s="423">
        <f>'4 kiadás(szűkített)'!E22</f>
        <v>40932048</v>
      </c>
      <c r="F56" s="539">
        <f>'4 kiadás(szűkített)'!F22</f>
        <v>12563991</v>
      </c>
      <c r="G56" s="414">
        <f>'4 kiadás(szűkített)'!G22</f>
        <v>183174</v>
      </c>
      <c r="H56" s="423">
        <f>'4 kiadás(szűkített)'!H22</f>
        <v>12747165</v>
      </c>
      <c r="I56" s="553">
        <f>SUM(C56+F56)</f>
        <v>52290535</v>
      </c>
      <c r="J56" s="423">
        <f>SUM(D56+G56)</f>
        <v>1388678</v>
      </c>
      <c r="K56" s="423">
        <f>SUM(E56+H56)</f>
        <v>53679213</v>
      </c>
    </row>
    <row r="57" spans="1:11" x14ac:dyDescent="0.25">
      <c r="A57" s="60" t="s">
        <v>221</v>
      </c>
      <c r="B57" s="60"/>
      <c r="C57" s="261"/>
      <c r="D57" s="415"/>
      <c r="E57" s="424"/>
      <c r="F57" s="547"/>
      <c r="G57" s="541"/>
      <c r="H57" s="424"/>
      <c r="I57" s="554"/>
      <c r="J57" s="424"/>
      <c r="K57" s="424"/>
    </row>
    <row r="58" spans="1:11" ht="31.5" x14ac:dyDescent="0.25">
      <c r="A58" s="61" t="s">
        <v>237</v>
      </c>
      <c r="B58" s="61"/>
      <c r="C58" s="265">
        <v>643386</v>
      </c>
      <c r="D58" s="58"/>
      <c r="E58" s="382">
        <f>SUM(C58:D58)</f>
        <v>643386</v>
      </c>
      <c r="F58" s="548">
        <v>283044</v>
      </c>
      <c r="G58" s="542"/>
      <c r="H58" s="382">
        <f>SUM(F58:G58)</f>
        <v>283044</v>
      </c>
      <c r="I58" s="383">
        <f t="shared" ref="I58:I59" si="53">SUM(C58+F58)</f>
        <v>926430</v>
      </c>
      <c r="J58" s="382">
        <f t="shared" ref="J58:J59" si="54">SUM(D58+G58)</f>
        <v>0</v>
      </c>
      <c r="K58" s="382">
        <f t="shared" ref="K58:K59" si="55">SUM(E58+H58)</f>
        <v>926430</v>
      </c>
    </row>
    <row r="59" spans="1:11" ht="31.5" x14ac:dyDescent="0.25">
      <c r="A59" s="61" t="s">
        <v>219</v>
      </c>
      <c r="B59" s="61"/>
      <c r="C59" s="265"/>
      <c r="D59" s="58"/>
      <c r="E59" s="382"/>
      <c r="F59" s="548"/>
      <c r="G59" s="542"/>
      <c r="H59" s="382"/>
      <c r="I59" s="383">
        <f t="shared" si="53"/>
        <v>0</v>
      </c>
      <c r="J59" s="382">
        <f t="shared" si="54"/>
        <v>0</v>
      </c>
      <c r="K59" s="382">
        <f t="shared" si="55"/>
        <v>0</v>
      </c>
    </row>
    <row r="60" spans="1:11" x14ac:dyDescent="0.25">
      <c r="A60" s="57" t="s">
        <v>220</v>
      </c>
      <c r="B60" s="57" t="s">
        <v>274</v>
      </c>
      <c r="C60" s="265">
        <f t="shared" ref="C60:K60" si="56">SUM(C58:C59)</f>
        <v>643386</v>
      </c>
      <c r="D60" s="58">
        <f t="shared" si="56"/>
        <v>0</v>
      </c>
      <c r="E60" s="382">
        <f t="shared" si="56"/>
        <v>643386</v>
      </c>
      <c r="F60" s="548">
        <f t="shared" si="56"/>
        <v>283044</v>
      </c>
      <c r="G60" s="542">
        <f t="shared" si="56"/>
        <v>0</v>
      </c>
      <c r="H60" s="382">
        <f t="shared" si="56"/>
        <v>283044</v>
      </c>
      <c r="I60" s="382">
        <f t="shared" si="56"/>
        <v>926430</v>
      </c>
      <c r="J60" s="382">
        <f t="shared" si="56"/>
        <v>0</v>
      </c>
      <c r="K60" s="382">
        <f t="shared" si="56"/>
        <v>926430</v>
      </c>
    </row>
    <row r="61" spans="1:11" x14ac:dyDescent="0.25">
      <c r="A61" s="384" t="s">
        <v>391</v>
      </c>
      <c r="B61" s="384" t="s">
        <v>392</v>
      </c>
      <c r="C61" s="416"/>
      <c r="D61" s="417"/>
      <c r="E61" s="425"/>
      <c r="F61" s="549">
        <v>9486336</v>
      </c>
      <c r="G61" s="543">
        <v>152679</v>
      </c>
      <c r="H61" s="425">
        <f>SUM(F61:G61)</f>
        <v>9639015</v>
      </c>
      <c r="I61" s="555">
        <f t="shared" ref="I61:K62" si="57">SUM(C61+F61)</f>
        <v>9486336</v>
      </c>
      <c r="J61" s="425">
        <f t="shared" si="57"/>
        <v>152679</v>
      </c>
      <c r="K61" s="425">
        <f t="shared" si="57"/>
        <v>9639015</v>
      </c>
    </row>
    <row r="62" spans="1:11" x14ac:dyDescent="0.25">
      <c r="A62" s="384" t="s">
        <v>432</v>
      </c>
      <c r="B62" s="384" t="s">
        <v>393</v>
      </c>
      <c r="C62" s="416">
        <v>6800000</v>
      </c>
      <c r="D62" s="417"/>
      <c r="E62" s="425">
        <f>SUM(C62:D62)</f>
        <v>6800000</v>
      </c>
      <c r="F62" s="549"/>
      <c r="G62" s="543"/>
      <c r="H62" s="425"/>
      <c r="I62" s="555">
        <f t="shared" si="57"/>
        <v>6800000</v>
      </c>
      <c r="J62" s="425">
        <f t="shared" si="57"/>
        <v>0</v>
      </c>
      <c r="K62" s="425">
        <f t="shared" si="57"/>
        <v>6800000</v>
      </c>
    </row>
    <row r="63" spans="1:11" ht="31.5" x14ac:dyDescent="0.25">
      <c r="A63" s="384" t="s">
        <v>829</v>
      </c>
      <c r="B63" s="384" t="s">
        <v>830</v>
      </c>
      <c r="C63" s="416">
        <v>6300000</v>
      </c>
      <c r="D63" s="417">
        <v>1500000</v>
      </c>
      <c r="E63" s="425">
        <f>SUM(C63:D63)</f>
        <v>7800000</v>
      </c>
      <c r="F63" s="549"/>
      <c r="G63" s="543"/>
      <c r="H63" s="425"/>
      <c r="I63" s="555">
        <f t="shared" ref="I63" si="58">SUM(C63+F63)</f>
        <v>6300000</v>
      </c>
      <c r="J63" s="425">
        <f t="shared" ref="J63" si="59">SUM(D63+G63)</f>
        <v>1500000</v>
      </c>
      <c r="K63" s="425">
        <f t="shared" ref="K63" si="60">SUM(E63+H63)</f>
        <v>7800000</v>
      </c>
    </row>
    <row r="64" spans="1:11" s="25" customFormat="1" ht="31.5" x14ac:dyDescent="0.25">
      <c r="A64" s="390" t="s">
        <v>826</v>
      </c>
      <c r="B64" s="390" t="s">
        <v>222</v>
      </c>
      <c r="C64" s="418">
        <f>SUM(C60+C61+C62+C63)</f>
        <v>13743386</v>
      </c>
      <c r="D64" s="419">
        <f>SUM(D60:D63)</f>
        <v>1500000</v>
      </c>
      <c r="E64" s="426">
        <f>SUM(E60:E63)</f>
        <v>15243386</v>
      </c>
      <c r="F64" s="546">
        <f>SUM(F60+F61+F62)</f>
        <v>9769380</v>
      </c>
      <c r="G64" s="544">
        <f>SUM(G60:G62)</f>
        <v>152679</v>
      </c>
      <c r="H64" s="426">
        <f>SUM(H60:H62)</f>
        <v>9922059</v>
      </c>
      <c r="I64" s="556">
        <f>SUM(I60+I61+I62+I63)</f>
        <v>23512766</v>
      </c>
      <c r="J64" s="426">
        <f>SUM(J60+J61+J62+J63)</f>
        <v>1652679</v>
      </c>
      <c r="K64" s="426">
        <f>SUM(K60+K61+K62+K63)</f>
        <v>25165445</v>
      </c>
    </row>
    <row r="65" spans="1:11" s="25" customFormat="1" x14ac:dyDescent="0.25">
      <c r="A65" s="390" t="s">
        <v>394</v>
      </c>
      <c r="B65" s="390" t="s">
        <v>269</v>
      </c>
      <c r="C65" s="418">
        <f>'4 kiadás(szűkített)'!C27</f>
        <v>12915701</v>
      </c>
      <c r="D65" s="419">
        <f>'4 kiadás(szűkített)'!D27</f>
        <v>1652679</v>
      </c>
      <c r="E65" s="426">
        <f>'4 kiadás(szűkített)'!E27</f>
        <v>14568380</v>
      </c>
      <c r="F65" s="418">
        <f>'4 kiadás(szűkített)'!F27</f>
        <v>0</v>
      </c>
      <c r="G65" s="419">
        <f>'4 kiadás(szűkített)'!G27</f>
        <v>0</v>
      </c>
      <c r="H65" s="426">
        <f>'4 kiadás(szűkített)'!H27</f>
        <v>0</v>
      </c>
      <c r="I65" s="556">
        <f>SUM(C65+F65)</f>
        <v>12915701</v>
      </c>
      <c r="J65" s="426">
        <f>SUM(D65+G65)</f>
        <v>1652679</v>
      </c>
      <c r="K65" s="426">
        <f t="shared" ref="K65" si="61">SUM(E65:H65)</f>
        <v>14568380</v>
      </c>
    </row>
    <row r="66" spans="1:11" s="63" customFormat="1" x14ac:dyDescent="0.25">
      <c r="A66" s="62" t="s">
        <v>395</v>
      </c>
      <c r="B66" s="62"/>
      <c r="C66" s="261">
        <f>SUM(C64-C65)</f>
        <v>827685</v>
      </c>
      <c r="D66" s="415">
        <f t="shared" ref="D66:H66" si="62">SUM(D64-D65)</f>
        <v>-152679</v>
      </c>
      <c r="E66" s="424">
        <f t="shared" si="62"/>
        <v>675006</v>
      </c>
      <c r="F66" s="261">
        <f t="shared" si="62"/>
        <v>9769380</v>
      </c>
      <c r="G66" s="415">
        <f t="shared" si="62"/>
        <v>152679</v>
      </c>
      <c r="H66" s="424">
        <f t="shared" si="62"/>
        <v>9922059</v>
      </c>
      <c r="I66" s="554">
        <f>SUM(I64-I65)</f>
        <v>10597065</v>
      </c>
      <c r="J66" s="424">
        <f t="shared" ref="J66:K66" si="63">SUM(J64-J65)</f>
        <v>0</v>
      </c>
      <c r="K66" s="424">
        <f t="shared" si="63"/>
        <v>10597065</v>
      </c>
    </row>
    <row r="67" spans="1:11" s="63" customFormat="1" ht="16.5" thickBot="1" x14ac:dyDescent="0.3">
      <c r="A67" s="64" t="s">
        <v>396</v>
      </c>
      <c r="B67" s="64"/>
      <c r="C67" s="420">
        <f>SUM(C54+C66)</f>
        <v>0</v>
      </c>
      <c r="D67" s="545">
        <f t="shared" ref="D67:H67" si="64">SUM(D54+D66)</f>
        <v>0</v>
      </c>
      <c r="E67" s="550">
        <f t="shared" si="64"/>
        <v>0</v>
      </c>
      <c r="F67" s="420">
        <f t="shared" si="64"/>
        <v>0</v>
      </c>
      <c r="G67" s="545">
        <f t="shared" si="64"/>
        <v>0</v>
      </c>
      <c r="H67" s="550">
        <f t="shared" si="64"/>
        <v>0</v>
      </c>
      <c r="I67" s="401">
        <f>SUM(I54+I66)</f>
        <v>0</v>
      </c>
      <c r="J67" s="377">
        <f t="shared" ref="J67:K67" si="65">SUM(J54+J66)</f>
        <v>0</v>
      </c>
      <c r="K67" s="377">
        <f t="shared" si="65"/>
        <v>0</v>
      </c>
    </row>
    <row r="68" spans="1:11" s="63" customFormat="1" ht="16.5" thickTop="1" x14ac:dyDescent="0.25"/>
    <row r="69" spans="1:11" s="63" customFormat="1" x14ac:dyDescent="0.25"/>
    <row r="70" spans="1:11" s="63" customFormat="1" x14ac:dyDescent="0.25"/>
    <row r="71" spans="1:11" s="63" customFormat="1" x14ac:dyDescent="0.25">
      <c r="A71" s="66"/>
      <c r="B71" s="66"/>
    </row>
    <row r="72" spans="1:11" s="68" customFormat="1" x14ac:dyDescent="0.25">
      <c r="A72" s="67"/>
      <c r="B72" s="67"/>
      <c r="C72" s="63"/>
      <c r="D72" s="63"/>
      <c r="E72" s="63"/>
      <c r="F72" s="63"/>
      <c r="G72" s="63"/>
      <c r="H72" s="63"/>
      <c r="I72" s="63"/>
      <c r="J72" s="63"/>
      <c r="K72" s="63"/>
    </row>
    <row r="73" spans="1:11" s="68" customFormat="1" x14ac:dyDescent="0.25">
      <c r="A73" s="69"/>
      <c r="B73" s="69"/>
      <c r="C73" s="63"/>
      <c r="D73" s="63"/>
      <c r="E73" s="63"/>
      <c r="F73" s="63"/>
      <c r="G73" s="63"/>
      <c r="H73" s="63"/>
      <c r="I73" s="63"/>
      <c r="J73" s="63"/>
      <c r="K73" s="63"/>
    </row>
    <row r="74" spans="1:11" s="68" customFormat="1" x14ac:dyDescent="0.25">
      <c r="A74" s="70"/>
      <c r="B74" s="70"/>
    </row>
    <row r="75" spans="1:11" s="68" customFormat="1" x14ac:dyDescent="0.25">
      <c r="A75" s="71"/>
      <c r="B75" s="71"/>
    </row>
    <row r="76" spans="1:11" s="68" customFormat="1" x14ac:dyDescent="0.25">
      <c r="A76" s="72"/>
      <c r="B76" s="72"/>
    </row>
    <row r="77" spans="1:11" s="68" customFormat="1" x14ac:dyDescent="0.25">
      <c r="A77" s="70"/>
      <c r="B77" s="70"/>
    </row>
    <row r="78" spans="1:11" s="68" customFormat="1" x14ac:dyDescent="0.25">
      <c r="A78" s="71"/>
      <c r="B78" s="71"/>
    </row>
    <row r="79" spans="1:11" s="68" customFormat="1" x14ac:dyDescent="0.25">
      <c r="A79" s="71"/>
      <c r="B79" s="71"/>
    </row>
    <row r="80" spans="1:11" s="68" customFormat="1" x14ac:dyDescent="0.25">
      <c r="A80" s="70"/>
      <c r="B80" s="70"/>
    </row>
    <row r="81" spans="1:11" s="68" customFormat="1" x14ac:dyDescent="0.25">
      <c r="A81" s="71"/>
      <c r="B81" s="71"/>
    </row>
    <row r="82" spans="1:11" s="68" customFormat="1" x14ac:dyDescent="0.25">
      <c r="A82" s="71"/>
      <c r="B82" s="71"/>
    </row>
    <row r="83" spans="1:11" s="68" customFormat="1" x14ac:dyDescent="0.25">
      <c r="A83" s="71"/>
      <c r="B83" s="71"/>
    </row>
    <row r="84" spans="1:11" s="68" customFormat="1" x14ac:dyDescent="0.25">
      <c r="A84" s="71"/>
      <c r="B84" s="71"/>
    </row>
    <row r="85" spans="1:11" s="68" customFormat="1" x14ac:dyDescent="0.25">
      <c r="A85" s="70"/>
      <c r="B85" s="70"/>
    </row>
    <row r="86" spans="1:11" s="68" customFormat="1" x14ac:dyDescent="0.25">
      <c r="A86" s="71"/>
      <c r="B86" s="71"/>
    </row>
    <row r="87" spans="1:11" s="68" customFormat="1" x14ac:dyDescent="0.25">
      <c r="A87" s="71"/>
      <c r="B87" s="71"/>
    </row>
    <row r="88" spans="1:11" s="68" customFormat="1" x14ac:dyDescent="0.25">
      <c r="A88" s="71"/>
      <c r="B88" s="71"/>
    </row>
    <row r="89" spans="1:11" s="68" customFormat="1" x14ac:dyDescent="0.25">
      <c r="A89" s="71"/>
      <c r="B89" s="71"/>
    </row>
    <row r="90" spans="1:11" s="68" customFormat="1" x14ac:dyDescent="0.25">
      <c r="A90" s="71"/>
      <c r="B90" s="71"/>
    </row>
    <row r="91" spans="1:11" x14ac:dyDescent="0.25">
      <c r="A91" s="71"/>
      <c r="B91" s="71"/>
      <c r="C91" s="68"/>
      <c r="D91" s="68"/>
      <c r="E91" s="68"/>
      <c r="F91" s="68"/>
      <c r="G91" s="68"/>
      <c r="H91" s="68"/>
      <c r="I91" s="68"/>
      <c r="J91" s="68"/>
      <c r="K91" s="68"/>
    </row>
    <row r="92" spans="1:11" x14ac:dyDescent="0.25">
      <c r="A92" s="71"/>
      <c r="B92" s="71"/>
      <c r="C92" s="68"/>
      <c r="D92" s="68"/>
      <c r="E92" s="68"/>
      <c r="F92" s="68"/>
      <c r="G92" s="68"/>
      <c r="H92" s="68"/>
      <c r="I92" s="68"/>
      <c r="J92" s="68"/>
      <c r="K92" s="68"/>
    </row>
    <row r="93" spans="1:11" x14ac:dyDescent="0.25">
      <c r="A93" s="73"/>
      <c r="B93" s="73"/>
    </row>
    <row r="94" spans="1:11" x14ac:dyDescent="0.25">
      <c r="A94" s="73"/>
      <c r="B94" s="73"/>
    </row>
    <row r="95" spans="1:11" x14ac:dyDescent="0.25">
      <c r="A95" s="73"/>
      <c r="B95" s="73"/>
    </row>
    <row r="96" spans="1:11" x14ac:dyDescent="0.25">
      <c r="A96" s="73"/>
      <c r="B96" s="73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  <row r="198" spans="1:2" x14ac:dyDescent="0.25">
      <c r="A198" s="73"/>
      <c r="B198" s="73"/>
    </row>
    <row r="199" spans="1:2" x14ac:dyDescent="0.25">
      <c r="A199" s="73"/>
      <c r="B199" s="73"/>
    </row>
    <row r="200" spans="1:2" x14ac:dyDescent="0.25">
      <c r="A200" s="73"/>
      <c r="B200" s="73"/>
    </row>
    <row r="201" spans="1:2" x14ac:dyDescent="0.25">
      <c r="A201" s="73"/>
      <c r="B201" s="73"/>
    </row>
    <row r="202" spans="1:2" x14ac:dyDescent="0.25">
      <c r="A202" s="73"/>
      <c r="B202" s="73"/>
    </row>
    <row r="203" spans="1:2" x14ac:dyDescent="0.25">
      <c r="A203" s="73"/>
      <c r="B203" s="73"/>
    </row>
    <row r="204" spans="1:2" x14ac:dyDescent="0.25">
      <c r="A204" s="73"/>
      <c r="B204" s="73"/>
    </row>
    <row r="205" spans="1:2" x14ac:dyDescent="0.25">
      <c r="A205" s="73"/>
      <c r="B205" s="73"/>
    </row>
    <row r="206" spans="1:2" x14ac:dyDescent="0.25">
      <c r="A206" s="73"/>
      <c r="B206" s="73"/>
    </row>
    <row r="207" spans="1:2" x14ac:dyDescent="0.25">
      <c r="A207" s="73"/>
      <c r="B207" s="73"/>
    </row>
    <row r="208" spans="1:2" x14ac:dyDescent="0.25">
      <c r="A208" s="73"/>
      <c r="B208" s="73"/>
    </row>
    <row r="209" spans="1:2" x14ac:dyDescent="0.25">
      <c r="A209" s="73"/>
      <c r="B209" s="73"/>
    </row>
    <row r="210" spans="1:2" x14ac:dyDescent="0.25">
      <c r="A210" s="73"/>
      <c r="B210" s="73"/>
    </row>
    <row r="211" spans="1:2" x14ac:dyDescent="0.25">
      <c r="A211" s="73"/>
      <c r="B211" s="73"/>
    </row>
    <row r="212" spans="1:2" x14ac:dyDescent="0.25">
      <c r="A212" s="73"/>
      <c r="B212" s="73"/>
    </row>
    <row r="213" spans="1:2" x14ac:dyDescent="0.25">
      <c r="A213" s="73"/>
      <c r="B213" s="73"/>
    </row>
    <row r="214" spans="1:2" x14ac:dyDescent="0.25">
      <c r="A214" s="73"/>
      <c r="B214" s="73"/>
    </row>
    <row r="215" spans="1:2" x14ac:dyDescent="0.25">
      <c r="A215" s="73"/>
      <c r="B215" s="73"/>
    </row>
    <row r="216" spans="1:2" x14ac:dyDescent="0.25">
      <c r="A216" s="73"/>
      <c r="B216" s="73"/>
    </row>
    <row r="217" spans="1:2" x14ac:dyDescent="0.25">
      <c r="A217" s="73"/>
      <c r="B217" s="73"/>
    </row>
    <row r="218" spans="1:2" x14ac:dyDescent="0.25">
      <c r="A218" s="73"/>
      <c r="B218" s="73"/>
    </row>
    <row r="219" spans="1:2" x14ac:dyDescent="0.25">
      <c r="A219" s="73"/>
      <c r="B219" s="73"/>
    </row>
    <row r="220" spans="1:2" x14ac:dyDescent="0.25">
      <c r="A220" s="73"/>
      <c r="B220" s="73"/>
    </row>
    <row r="221" spans="1:2" x14ac:dyDescent="0.25">
      <c r="A221" s="73"/>
      <c r="B221" s="73"/>
    </row>
    <row r="222" spans="1:2" x14ac:dyDescent="0.25">
      <c r="A222" s="73"/>
      <c r="B222" s="73"/>
    </row>
    <row r="223" spans="1:2" x14ac:dyDescent="0.25">
      <c r="A223" s="73"/>
      <c r="B223" s="73"/>
    </row>
    <row r="224" spans="1:2" x14ac:dyDescent="0.25">
      <c r="A224" s="73"/>
      <c r="B224" s="73"/>
    </row>
    <row r="225" spans="1:2" x14ac:dyDescent="0.25">
      <c r="A225" s="73"/>
      <c r="B225" s="73"/>
    </row>
    <row r="226" spans="1:2" x14ac:dyDescent="0.25">
      <c r="A226" s="73"/>
      <c r="B226" s="73"/>
    </row>
    <row r="227" spans="1:2" x14ac:dyDescent="0.25">
      <c r="A227" s="73"/>
      <c r="B227" s="73"/>
    </row>
    <row r="228" spans="1:2" x14ac:dyDescent="0.25">
      <c r="A228" s="73"/>
      <c r="B228" s="73"/>
    </row>
    <row r="229" spans="1:2" x14ac:dyDescent="0.25">
      <c r="A229" s="73"/>
      <c r="B229" s="73"/>
    </row>
    <row r="230" spans="1:2" x14ac:dyDescent="0.25">
      <c r="A230" s="73"/>
      <c r="B230" s="73"/>
    </row>
    <row r="231" spans="1:2" x14ac:dyDescent="0.25">
      <c r="A231" s="73"/>
      <c r="B231" s="73"/>
    </row>
    <row r="232" spans="1:2" x14ac:dyDescent="0.25">
      <c r="A232" s="73"/>
      <c r="B232" s="73"/>
    </row>
    <row r="233" spans="1:2" x14ac:dyDescent="0.25">
      <c r="A233" s="73"/>
      <c r="B233" s="73"/>
    </row>
    <row r="234" spans="1:2" x14ac:dyDescent="0.25">
      <c r="A234" s="73"/>
      <c r="B234" s="73"/>
    </row>
    <row r="235" spans="1:2" x14ac:dyDescent="0.25">
      <c r="A235" s="73"/>
      <c r="B235" s="73"/>
    </row>
    <row r="236" spans="1:2" x14ac:dyDescent="0.25">
      <c r="A236" s="73"/>
      <c r="B236" s="73"/>
    </row>
    <row r="237" spans="1:2" x14ac:dyDescent="0.25">
      <c r="A237" s="73"/>
      <c r="B237" s="73"/>
    </row>
    <row r="238" spans="1:2" x14ac:dyDescent="0.25">
      <c r="A238" s="73"/>
      <c r="B238" s="73"/>
    </row>
    <row r="239" spans="1:2" x14ac:dyDescent="0.25">
      <c r="A239" s="73"/>
      <c r="B239" s="73"/>
    </row>
    <row r="240" spans="1:2" x14ac:dyDescent="0.25">
      <c r="A240" s="73"/>
      <c r="B240" s="73"/>
    </row>
    <row r="241" spans="1:2" x14ac:dyDescent="0.25">
      <c r="A241" s="73"/>
      <c r="B241" s="73"/>
    </row>
    <row r="242" spans="1:2" x14ac:dyDescent="0.25">
      <c r="A242" s="73"/>
      <c r="B242" s="73"/>
    </row>
    <row r="243" spans="1:2" x14ac:dyDescent="0.25">
      <c r="A243" s="73"/>
      <c r="B243" s="73"/>
    </row>
    <row r="244" spans="1:2" x14ac:dyDescent="0.25">
      <c r="A244" s="73"/>
      <c r="B244" s="73"/>
    </row>
    <row r="245" spans="1:2" x14ac:dyDescent="0.25">
      <c r="A245" s="73"/>
      <c r="B245" s="73"/>
    </row>
    <row r="246" spans="1:2" x14ac:dyDescent="0.25">
      <c r="A246" s="73"/>
      <c r="B246" s="73"/>
    </row>
    <row r="247" spans="1:2" x14ac:dyDescent="0.25">
      <c r="A247" s="73"/>
      <c r="B247" s="73"/>
    </row>
    <row r="248" spans="1:2" x14ac:dyDescent="0.25">
      <c r="A248" s="73"/>
      <c r="B248" s="73"/>
    </row>
    <row r="249" spans="1:2" x14ac:dyDescent="0.25">
      <c r="A249" s="73"/>
      <c r="B249" s="73"/>
    </row>
    <row r="250" spans="1:2" x14ac:dyDescent="0.25">
      <c r="A250" s="73"/>
      <c r="B250" s="73"/>
    </row>
    <row r="251" spans="1:2" x14ac:dyDescent="0.25">
      <c r="A251" s="73"/>
      <c r="B251" s="73"/>
    </row>
    <row r="252" spans="1:2" x14ac:dyDescent="0.25">
      <c r="A252" s="73"/>
      <c r="B252" s="73"/>
    </row>
    <row r="253" spans="1:2" x14ac:dyDescent="0.25">
      <c r="A253" s="73"/>
      <c r="B253" s="73"/>
    </row>
    <row r="254" spans="1:2" x14ac:dyDescent="0.25">
      <c r="A254" s="73"/>
      <c r="B254" s="73"/>
    </row>
    <row r="255" spans="1:2" x14ac:dyDescent="0.25">
      <c r="A255" s="73"/>
      <c r="B255" s="73"/>
    </row>
    <row r="256" spans="1:2" x14ac:dyDescent="0.25">
      <c r="A256" s="73"/>
      <c r="B256" s="73"/>
    </row>
    <row r="257" spans="1:2" x14ac:dyDescent="0.25">
      <c r="A257" s="73"/>
      <c r="B257" s="73"/>
    </row>
    <row r="258" spans="1:2" x14ac:dyDescent="0.25">
      <c r="A258" s="73"/>
      <c r="B258" s="73"/>
    </row>
    <row r="259" spans="1:2" x14ac:dyDescent="0.25">
      <c r="A259" s="73"/>
      <c r="B259" s="73"/>
    </row>
    <row r="260" spans="1:2" x14ac:dyDescent="0.25">
      <c r="A260" s="73"/>
      <c r="B260" s="73"/>
    </row>
    <row r="261" spans="1:2" x14ac:dyDescent="0.25">
      <c r="A261" s="73"/>
      <c r="B261" s="73"/>
    </row>
    <row r="262" spans="1:2" x14ac:dyDescent="0.25">
      <c r="A262" s="73"/>
      <c r="B262" s="73"/>
    </row>
    <row r="263" spans="1:2" x14ac:dyDescent="0.25">
      <c r="A263" s="73"/>
      <c r="B263" s="73"/>
    </row>
    <row r="264" spans="1:2" x14ac:dyDescent="0.25">
      <c r="A264" s="73"/>
      <c r="B264" s="73"/>
    </row>
    <row r="265" spans="1:2" x14ac:dyDescent="0.25">
      <c r="A265" s="73"/>
      <c r="B265" s="73"/>
    </row>
    <row r="266" spans="1:2" x14ac:dyDescent="0.25">
      <c r="A266" s="73"/>
      <c r="B266" s="73"/>
    </row>
    <row r="267" spans="1:2" x14ac:dyDescent="0.25">
      <c r="A267" s="73"/>
      <c r="B267" s="73"/>
    </row>
    <row r="268" spans="1:2" x14ac:dyDescent="0.25">
      <c r="A268" s="73"/>
      <c r="B268" s="73"/>
    </row>
    <row r="269" spans="1:2" x14ac:dyDescent="0.25">
      <c r="A269" s="73"/>
      <c r="B269" s="73"/>
    </row>
    <row r="270" spans="1:2" x14ac:dyDescent="0.25">
      <c r="A270" s="73"/>
      <c r="B270" s="73"/>
    </row>
    <row r="271" spans="1:2" x14ac:dyDescent="0.25">
      <c r="A271" s="73"/>
      <c r="B271" s="73"/>
    </row>
    <row r="272" spans="1:2" x14ac:dyDescent="0.25">
      <c r="A272" s="73"/>
      <c r="B272" s="73"/>
    </row>
    <row r="273" spans="1:2" x14ac:dyDescent="0.25">
      <c r="A273" s="73"/>
      <c r="B273" s="73"/>
    </row>
    <row r="274" spans="1:2" x14ac:dyDescent="0.25">
      <c r="A274" s="73"/>
      <c r="B274" s="73"/>
    </row>
    <row r="275" spans="1:2" x14ac:dyDescent="0.25">
      <c r="A275" s="73"/>
      <c r="B275" s="73"/>
    </row>
    <row r="276" spans="1:2" x14ac:dyDescent="0.25">
      <c r="A276" s="73"/>
      <c r="B276" s="73"/>
    </row>
    <row r="277" spans="1:2" x14ac:dyDescent="0.25">
      <c r="A277" s="73"/>
      <c r="B277" s="73"/>
    </row>
    <row r="278" spans="1:2" x14ac:dyDescent="0.25">
      <c r="A278" s="73"/>
      <c r="B278" s="73"/>
    </row>
    <row r="279" spans="1:2" x14ac:dyDescent="0.25">
      <c r="A279" s="73"/>
      <c r="B279" s="73"/>
    </row>
    <row r="280" spans="1:2" x14ac:dyDescent="0.25">
      <c r="A280" s="73"/>
      <c r="B280" s="73"/>
    </row>
    <row r="281" spans="1:2" x14ac:dyDescent="0.25">
      <c r="A281" s="73"/>
      <c r="B281" s="73"/>
    </row>
    <row r="282" spans="1:2" x14ac:dyDescent="0.25">
      <c r="A282" s="73"/>
      <c r="B282" s="73"/>
    </row>
    <row r="283" spans="1:2" x14ac:dyDescent="0.25">
      <c r="A283" s="73"/>
      <c r="B283" s="73"/>
    </row>
    <row r="284" spans="1:2" x14ac:dyDescent="0.25">
      <c r="A284" s="73"/>
      <c r="B284" s="73"/>
    </row>
    <row r="285" spans="1:2" x14ac:dyDescent="0.25">
      <c r="A285" s="73"/>
      <c r="B285" s="73"/>
    </row>
    <row r="286" spans="1:2" x14ac:dyDescent="0.25">
      <c r="A286" s="73"/>
      <c r="B286" s="73"/>
    </row>
    <row r="287" spans="1:2" x14ac:dyDescent="0.25">
      <c r="A287" s="73"/>
      <c r="B287" s="73"/>
    </row>
    <row r="288" spans="1:2" x14ac:dyDescent="0.25">
      <c r="A288" s="73"/>
      <c r="B288" s="73"/>
    </row>
    <row r="289" spans="1:2" x14ac:dyDescent="0.25">
      <c r="A289" s="73"/>
      <c r="B289" s="73"/>
    </row>
    <row r="290" spans="1:2" x14ac:dyDescent="0.25">
      <c r="A290" s="73"/>
      <c r="B290" s="73"/>
    </row>
    <row r="291" spans="1:2" x14ac:dyDescent="0.25">
      <c r="A291" s="73"/>
      <c r="B291" s="73"/>
    </row>
    <row r="292" spans="1:2" x14ac:dyDescent="0.25">
      <c r="A292" s="73"/>
      <c r="B292" s="73"/>
    </row>
    <row r="293" spans="1:2" x14ac:dyDescent="0.25">
      <c r="A293" s="73"/>
      <c r="B293" s="73"/>
    </row>
    <row r="294" spans="1:2" x14ac:dyDescent="0.25">
      <c r="A294" s="73"/>
      <c r="B294" s="73"/>
    </row>
    <row r="295" spans="1:2" x14ac:dyDescent="0.25">
      <c r="A295" s="73"/>
      <c r="B295" s="73"/>
    </row>
    <row r="296" spans="1:2" x14ac:dyDescent="0.25">
      <c r="A296" s="73"/>
      <c r="B296" s="73"/>
    </row>
    <row r="297" spans="1:2" x14ac:dyDescent="0.25">
      <c r="A297" s="73"/>
      <c r="B297" s="73"/>
    </row>
    <row r="298" spans="1:2" x14ac:dyDescent="0.25">
      <c r="A298" s="73"/>
      <c r="B298" s="73"/>
    </row>
    <row r="299" spans="1:2" x14ac:dyDescent="0.25">
      <c r="A299" s="73"/>
      <c r="B299" s="73"/>
    </row>
    <row r="300" spans="1:2" x14ac:dyDescent="0.25">
      <c r="A300" s="73"/>
      <c r="B300" s="73"/>
    </row>
    <row r="301" spans="1:2" x14ac:dyDescent="0.25">
      <c r="A301" s="73"/>
      <c r="B301" s="73"/>
    </row>
    <row r="302" spans="1:2" x14ac:dyDescent="0.25">
      <c r="A302" s="73"/>
      <c r="B302" s="73"/>
    </row>
    <row r="303" spans="1:2" x14ac:dyDescent="0.25">
      <c r="A303" s="73"/>
      <c r="B303" s="73"/>
    </row>
    <row r="304" spans="1:2" x14ac:dyDescent="0.25">
      <c r="A304" s="73"/>
      <c r="B304" s="73"/>
    </row>
    <row r="305" spans="1:2" x14ac:dyDescent="0.25">
      <c r="A305" s="73"/>
      <c r="B305" s="73"/>
    </row>
    <row r="306" spans="1:2" x14ac:dyDescent="0.25">
      <c r="A306" s="73"/>
      <c r="B306" s="73"/>
    </row>
    <row r="307" spans="1:2" x14ac:dyDescent="0.25">
      <c r="A307" s="73"/>
      <c r="B307" s="73"/>
    </row>
    <row r="308" spans="1:2" x14ac:dyDescent="0.25">
      <c r="A308" s="73"/>
      <c r="B308" s="73"/>
    </row>
    <row r="309" spans="1:2" x14ac:dyDescent="0.25">
      <c r="A309" s="73"/>
      <c r="B309" s="73"/>
    </row>
    <row r="310" spans="1:2" x14ac:dyDescent="0.25">
      <c r="A310" s="73"/>
      <c r="B310" s="73"/>
    </row>
    <row r="311" spans="1:2" x14ac:dyDescent="0.25">
      <c r="A311" s="73"/>
      <c r="B311" s="73"/>
    </row>
    <row r="312" spans="1:2" x14ac:dyDescent="0.25">
      <c r="A312" s="73"/>
      <c r="B312" s="73"/>
    </row>
    <row r="313" spans="1:2" x14ac:dyDescent="0.25">
      <c r="A313" s="73"/>
      <c r="B313" s="73"/>
    </row>
    <row r="314" spans="1:2" x14ac:dyDescent="0.25">
      <c r="A314" s="73"/>
      <c r="B314" s="73"/>
    </row>
    <row r="315" spans="1:2" x14ac:dyDescent="0.25">
      <c r="A315" s="73"/>
      <c r="B315" s="73"/>
    </row>
    <row r="316" spans="1:2" x14ac:dyDescent="0.25">
      <c r="A316" s="73"/>
      <c r="B316" s="73"/>
    </row>
    <row r="317" spans="1:2" x14ac:dyDescent="0.25">
      <c r="A317" s="73"/>
      <c r="B317" s="73"/>
    </row>
    <row r="318" spans="1:2" x14ac:dyDescent="0.25">
      <c r="A318" s="73"/>
      <c r="B318" s="73"/>
    </row>
    <row r="319" spans="1:2" x14ac:dyDescent="0.25">
      <c r="A319" s="73"/>
      <c r="B319" s="73"/>
    </row>
    <row r="320" spans="1:2" x14ac:dyDescent="0.25">
      <c r="A320" s="73"/>
      <c r="B320" s="73"/>
    </row>
    <row r="321" spans="1:2" x14ac:dyDescent="0.25">
      <c r="A321" s="73"/>
      <c r="B321" s="73"/>
    </row>
    <row r="322" spans="1:2" x14ac:dyDescent="0.25">
      <c r="A322" s="73"/>
      <c r="B322" s="73"/>
    </row>
    <row r="323" spans="1:2" x14ac:dyDescent="0.25">
      <c r="A323" s="73"/>
      <c r="B323" s="73"/>
    </row>
    <row r="324" spans="1:2" x14ac:dyDescent="0.25">
      <c r="A324" s="73"/>
      <c r="B324" s="73"/>
    </row>
    <row r="325" spans="1:2" x14ac:dyDescent="0.25">
      <c r="A325" s="73"/>
      <c r="B325" s="73"/>
    </row>
    <row r="326" spans="1:2" x14ac:dyDescent="0.25">
      <c r="A326" s="73"/>
      <c r="B326" s="73"/>
    </row>
    <row r="327" spans="1:2" x14ac:dyDescent="0.25">
      <c r="A327" s="73"/>
      <c r="B327" s="73"/>
    </row>
    <row r="328" spans="1:2" x14ac:dyDescent="0.25">
      <c r="A328" s="73"/>
      <c r="B328" s="73"/>
    </row>
    <row r="329" spans="1:2" x14ac:dyDescent="0.25">
      <c r="A329" s="73"/>
      <c r="B329" s="73"/>
    </row>
    <row r="330" spans="1:2" x14ac:dyDescent="0.25">
      <c r="A330" s="73"/>
      <c r="B330" s="73"/>
    </row>
    <row r="331" spans="1:2" x14ac:dyDescent="0.25">
      <c r="A331" s="73"/>
      <c r="B331" s="73"/>
    </row>
    <row r="332" spans="1:2" x14ac:dyDescent="0.25">
      <c r="A332" s="73"/>
      <c r="B332" s="73"/>
    </row>
    <row r="333" spans="1:2" x14ac:dyDescent="0.25">
      <c r="A333" s="73"/>
      <c r="B333" s="73"/>
    </row>
    <row r="334" spans="1:2" x14ac:dyDescent="0.25">
      <c r="A334" s="73"/>
      <c r="B334" s="73"/>
    </row>
    <row r="335" spans="1:2" x14ac:dyDescent="0.25">
      <c r="A335" s="73"/>
      <c r="B335" s="73"/>
    </row>
    <row r="336" spans="1:2" x14ac:dyDescent="0.25">
      <c r="A336" s="73"/>
      <c r="B336" s="73"/>
    </row>
    <row r="337" spans="1:2" x14ac:dyDescent="0.25">
      <c r="A337" s="73"/>
      <c r="B337" s="73"/>
    </row>
    <row r="338" spans="1:2" x14ac:dyDescent="0.25">
      <c r="A338" s="73"/>
      <c r="B338" s="73"/>
    </row>
    <row r="339" spans="1:2" x14ac:dyDescent="0.25">
      <c r="A339" s="73"/>
      <c r="B339" s="73"/>
    </row>
    <row r="340" spans="1:2" x14ac:dyDescent="0.25">
      <c r="A340" s="73"/>
      <c r="B340" s="73"/>
    </row>
    <row r="341" spans="1:2" x14ac:dyDescent="0.25">
      <c r="A341" s="73"/>
      <c r="B341" s="73"/>
    </row>
    <row r="342" spans="1:2" x14ac:dyDescent="0.25">
      <c r="A342" s="73"/>
      <c r="B342" s="73"/>
    </row>
    <row r="343" spans="1:2" x14ac:dyDescent="0.25">
      <c r="A343" s="73"/>
      <c r="B343" s="73"/>
    </row>
    <row r="344" spans="1:2" x14ac:dyDescent="0.25">
      <c r="A344" s="73"/>
      <c r="B344" s="73"/>
    </row>
    <row r="345" spans="1:2" x14ac:dyDescent="0.25">
      <c r="A345" s="73"/>
      <c r="B345" s="73"/>
    </row>
    <row r="346" spans="1:2" x14ac:dyDescent="0.25">
      <c r="A346" s="73"/>
      <c r="B346" s="73"/>
    </row>
    <row r="347" spans="1:2" x14ac:dyDescent="0.25">
      <c r="A347" s="73"/>
      <c r="B347" s="73"/>
    </row>
    <row r="348" spans="1:2" x14ac:dyDescent="0.25">
      <c r="A348" s="73"/>
      <c r="B348" s="73"/>
    </row>
    <row r="349" spans="1:2" x14ac:dyDescent="0.25">
      <c r="A349" s="73"/>
      <c r="B349" s="73"/>
    </row>
    <row r="350" spans="1:2" x14ac:dyDescent="0.25">
      <c r="A350" s="73"/>
      <c r="B350" s="73"/>
    </row>
    <row r="351" spans="1:2" x14ac:dyDescent="0.25">
      <c r="A351" s="73"/>
      <c r="B351" s="73"/>
    </row>
    <row r="352" spans="1:2" x14ac:dyDescent="0.25">
      <c r="A352" s="73"/>
      <c r="B352" s="73"/>
    </row>
    <row r="353" spans="1:2" x14ac:dyDescent="0.25">
      <c r="A353" s="73"/>
      <c r="B353" s="73"/>
    </row>
    <row r="354" spans="1:2" x14ac:dyDescent="0.25">
      <c r="A354" s="73"/>
      <c r="B354" s="73"/>
    </row>
    <row r="355" spans="1:2" x14ac:dyDescent="0.25">
      <c r="A355" s="73"/>
      <c r="B355" s="73"/>
    </row>
    <row r="356" spans="1:2" x14ac:dyDescent="0.25">
      <c r="A356" s="73"/>
      <c r="B356" s="73"/>
    </row>
    <row r="357" spans="1:2" x14ac:dyDescent="0.25">
      <c r="A357" s="73"/>
      <c r="B357" s="73"/>
    </row>
    <row r="358" spans="1:2" x14ac:dyDescent="0.25">
      <c r="A358" s="73"/>
      <c r="B358" s="73"/>
    </row>
    <row r="359" spans="1:2" x14ac:dyDescent="0.25">
      <c r="A359" s="73"/>
      <c r="B359" s="73"/>
    </row>
    <row r="360" spans="1:2" x14ac:dyDescent="0.25">
      <c r="A360" s="73"/>
      <c r="B360" s="73"/>
    </row>
    <row r="361" spans="1:2" x14ac:dyDescent="0.25">
      <c r="A361" s="73"/>
      <c r="B361" s="73"/>
    </row>
    <row r="362" spans="1:2" x14ac:dyDescent="0.25">
      <c r="A362" s="73"/>
      <c r="B362" s="73"/>
    </row>
    <row r="363" spans="1:2" x14ac:dyDescent="0.25">
      <c r="A363" s="73"/>
      <c r="B363" s="73"/>
    </row>
    <row r="364" spans="1:2" x14ac:dyDescent="0.25">
      <c r="A364" s="73"/>
      <c r="B364" s="73"/>
    </row>
    <row r="365" spans="1:2" x14ac:dyDescent="0.25">
      <c r="A365" s="73"/>
      <c r="B365" s="73"/>
    </row>
    <row r="366" spans="1:2" x14ac:dyDescent="0.25">
      <c r="A366" s="73"/>
      <c r="B366" s="73"/>
    </row>
    <row r="367" spans="1:2" x14ac:dyDescent="0.25">
      <c r="A367" s="73"/>
      <c r="B367" s="73"/>
    </row>
    <row r="368" spans="1:2" x14ac:dyDescent="0.25">
      <c r="A368" s="73"/>
      <c r="B368" s="73"/>
    </row>
    <row r="369" spans="1:2" x14ac:dyDescent="0.25">
      <c r="A369" s="73"/>
      <c r="B369" s="73"/>
    </row>
    <row r="370" spans="1:2" x14ac:dyDescent="0.25">
      <c r="A370" s="73"/>
      <c r="B370" s="73"/>
    </row>
    <row r="371" spans="1:2" x14ac:dyDescent="0.25">
      <c r="A371" s="73"/>
      <c r="B371" s="73"/>
    </row>
    <row r="372" spans="1:2" x14ac:dyDescent="0.25">
      <c r="A372" s="73"/>
      <c r="B372" s="73"/>
    </row>
    <row r="373" spans="1:2" x14ac:dyDescent="0.25">
      <c r="A373" s="73"/>
      <c r="B373" s="73"/>
    </row>
    <row r="374" spans="1:2" x14ac:dyDescent="0.25">
      <c r="A374" s="73"/>
      <c r="B374" s="73"/>
    </row>
    <row r="375" spans="1:2" x14ac:dyDescent="0.25">
      <c r="A375" s="73"/>
      <c r="B375" s="73"/>
    </row>
    <row r="376" spans="1:2" x14ac:dyDescent="0.25">
      <c r="A376" s="73"/>
      <c r="B376" s="73"/>
    </row>
    <row r="377" spans="1:2" x14ac:dyDescent="0.25">
      <c r="A377" s="73"/>
      <c r="B377" s="73"/>
    </row>
    <row r="378" spans="1:2" x14ac:dyDescent="0.25">
      <c r="A378" s="73"/>
      <c r="B378" s="73"/>
    </row>
    <row r="379" spans="1:2" x14ac:dyDescent="0.25">
      <c r="A379" s="73"/>
      <c r="B379" s="73"/>
    </row>
    <row r="380" spans="1:2" x14ac:dyDescent="0.25">
      <c r="A380" s="73"/>
      <c r="B380" s="73"/>
    </row>
    <row r="381" spans="1:2" x14ac:dyDescent="0.25">
      <c r="A381" s="73"/>
      <c r="B381" s="73"/>
    </row>
    <row r="382" spans="1:2" x14ac:dyDescent="0.25">
      <c r="A382" s="73"/>
      <c r="B382" s="73"/>
    </row>
    <row r="383" spans="1:2" x14ac:dyDescent="0.25">
      <c r="A383" s="73"/>
      <c r="B383" s="73"/>
    </row>
    <row r="384" spans="1:2" x14ac:dyDescent="0.25">
      <c r="A384" s="73"/>
      <c r="B384" s="73"/>
    </row>
    <row r="385" spans="1:2" x14ac:dyDescent="0.25">
      <c r="A385" s="73"/>
      <c r="B385" s="73"/>
    </row>
    <row r="386" spans="1:2" x14ac:dyDescent="0.25">
      <c r="A386" s="73"/>
      <c r="B386" s="73"/>
    </row>
    <row r="387" spans="1:2" x14ac:dyDescent="0.25">
      <c r="A387" s="73"/>
      <c r="B387" s="73"/>
    </row>
    <row r="388" spans="1:2" x14ac:dyDescent="0.25">
      <c r="A388" s="73"/>
      <c r="B388" s="73"/>
    </row>
    <row r="389" spans="1:2" x14ac:dyDescent="0.25">
      <c r="A389" s="73"/>
      <c r="B389" s="73"/>
    </row>
    <row r="390" spans="1:2" x14ac:dyDescent="0.25">
      <c r="A390" s="73"/>
      <c r="B390" s="73"/>
    </row>
    <row r="391" spans="1:2" x14ac:dyDescent="0.25">
      <c r="A391" s="73"/>
      <c r="B391" s="73"/>
    </row>
    <row r="392" spans="1:2" x14ac:dyDescent="0.25">
      <c r="A392" s="73"/>
      <c r="B392" s="73"/>
    </row>
    <row r="393" spans="1:2" x14ac:dyDescent="0.25">
      <c r="A393" s="73"/>
      <c r="B393" s="73"/>
    </row>
    <row r="394" spans="1:2" x14ac:dyDescent="0.25">
      <c r="A394" s="73"/>
      <c r="B394" s="73"/>
    </row>
    <row r="395" spans="1:2" x14ac:dyDescent="0.25">
      <c r="A395" s="73"/>
      <c r="B395" s="73"/>
    </row>
    <row r="396" spans="1:2" x14ac:dyDescent="0.25">
      <c r="A396" s="73"/>
      <c r="B396" s="73"/>
    </row>
    <row r="397" spans="1:2" x14ac:dyDescent="0.25">
      <c r="A397" s="73"/>
      <c r="B397" s="73"/>
    </row>
    <row r="398" spans="1:2" x14ac:dyDescent="0.25">
      <c r="A398" s="73"/>
      <c r="B398" s="73"/>
    </row>
    <row r="399" spans="1:2" x14ac:dyDescent="0.25">
      <c r="A399" s="73"/>
      <c r="B399" s="73"/>
    </row>
    <row r="400" spans="1:2" x14ac:dyDescent="0.25">
      <c r="A400" s="73"/>
      <c r="B400" s="73"/>
    </row>
    <row r="401" spans="1:2" x14ac:dyDescent="0.25">
      <c r="A401" s="73"/>
      <c r="B401" s="73"/>
    </row>
    <row r="402" spans="1:2" x14ac:dyDescent="0.25">
      <c r="A402" s="73"/>
      <c r="B402" s="73"/>
    </row>
    <row r="403" spans="1:2" x14ac:dyDescent="0.25">
      <c r="A403" s="73"/>
      <c r="B403" s="73"/>
    </row>
    <row r="404" spans="1:2" x14ac:dyDescent="0.25">
      <c r="A404" s="73"/>
      <c r="B404" s="73"/>
    </row>
    <row r="405" spans="1:2" x14ac:dyDescent="0.25">
      <c r="A405" s="73"/>
      <c r="B405" s="73"/>
    </row>
    <row r="406" spans="1:2" x14ac:dyDescent="0.25">
      <c r="A406" s="73"/>
      <c r="B406" s="73"/>
    </row>
    <row r="407" spans="1:2" x14ac:dyDescent="0.25">
      <c r="A407" s="73"/>
      <c r="B407" s="73"/>
    </row>
    <row r="408" spans="1:2" x14ac:dyDescent="0.25">
      <c r="A408" s="73"/>
      <c r="B408" s="73"/>
    </row>
    <row r="409" spans="1:2" x14ac:dyDescent="0.25">
      <c r="A409" s="73"/>
      <c r="B409" s="73"/>
    </row>
    <row r="410" spans="1:2" x14ac:dyDescent="0.25">
      <c r="A410" s="73"/>
      <c r="B410" s="73"/>
    </row>
    <row r="411" spans="1:2" x14ac:dyDescent="0.25">
      <c r="A411" s="73"/>
      <c r="B411" s="73"/>
    </row>
    <row r="412" spans="1:2" x14ac:dyDescent="0.25">
      <c r="A412" s="73"/>
      <c r="B412" s="73"/>
    </row>
    <row r="413" spans="1:2" x14ac:dyDescent="0.25">
      <c r="A413" s="73"/>
      <c r="B413" s="73"/>
    </row>
    <row r="414" spans="1:2" x14ac:dyDescent="0.25">
      <c r="A414" s="73"/>
      <c r="B414" s="73"/>
    </row>
    <row r="415" spans="1:2" x14ac:dyDescent="0.25">
      <c r="A415" s="73"/>
      <c r="B415" s="73"/>
    </row>
    <row r="416" spans="1:2" x14ac:dyDescent="0.25">
      <c r="A416" s="73"/>
      <c r="B416" s="73"/>
    </row>
    <row r="417" spans="1:2" x14ac:dyDescent="0.25">
      <c r="A417" s="73"/>
      <c r="B417" s="73"/>
    </row>
    <row r="418" spans="1:2" x14ac:dyDescent="0.25">
      <c r="A418" s="73"/>
      <c r="B418" s="73"/>
    </row>
    <row r="419" spans="1:2" x14ac:dyDescent="0.25">
      <c r="A419" s="73"/>
      <c r="B419" s="73"/>
    </row>
    <row r="420" spans="1:2" x14ac:dyDescent="0.25">
      <c r="A420" s="73"/>
      <c r="B420" s="73"/>
    </row>
    <row r="421" spans="1:2" x14ac:dyDescent="0.25">
      <c r="A421" s="73"/>
      <c r="B421" s="73"/>
    </row>
    <row r="422" spans="1:2" x14ac:dyDescent="0.25">
      <c r="A422" s="73"/>
      <c r="B422" s="73"/>
    </row>
    <row r="423" spans="1:2" x14ac:dyDescent="0.25">
      <c r="A423" s="73"/>
      <c r="B423" s="73"/>
    </row>
    <row r="424" spans="1:2" x14ac:dyDescent="0.25">
      <c r="A424" s="73"/>
      <c r="B424" s="73"/>
    </row>
    <row r="425" spans="1:2" x14ac:dyDescent="0.25">
      <c r="A425" s="73"/>
      <c r="B425" s="73"/>
    </row>
    <row r="426" spans="1:2" x14ac:dyDescent="0.25">
      <c r="A426" s="73"/>
      <c r="B426" s="73"/>
    </row>
    <row r="427" spans="1:2" x14ac:dyDescent="0.25">
      <c r="A427" s="73"/>
      <c r="B427" s="73"/>
    </row>
    <row r="428" spans="1:2" x14ac:dyDescent="0.25">
      <c r="A428" s="73"/>
      <c r="B428" s="73"/>
    </row>
    <row r="429" spans="1:2" x14ac:dyDescent="0.25">
      <c r="A429" s="73"/>
      <c r="B429" s="73"/>
    </row>
    <row r="430" spans="1:2" x14ac:dyDescent="0.25">
      <c r="A430" s="73"/>
      <c r="B430" s="73"/>
    </row>
    <row r="431" spans="1:2" x14ac:dyDescent="0.25">
      <c r="A431" s="73"/>
      <c r="B431" s="73"/>
    </row>
    <row r="432" spans="1:2" x14ac:dyDescent="0.25">
      <c r="A432" s="73"/>
      <c r="B432" s="73"/>
    </row>
    <row r="433" spans="1:2" x14ac:dyDescent="0.25">
      <c r="A433" s="73"/>
      <c r="B433" s="73"/>
    </row>
    <row r="434" spans="1:2" x14ac:dyDescent="0.25">
      <c r="A434" s="73"/>
      <c r="B434" s="73"/>
    </row>
    <row r="435" spans="1:2" x14ac:dyDescent="0.25">
      <c r="A435" s="73"/>
      <c r="B435" s="73"/>
    </row>
    <row r="436" spans="1:2" x14ac:dyDescent="0.25">
      <c r="A436" s="73"/>
      <c r="B436" s="73"/>
    </row>
    <row r="437" spans="1:2" x14ac:dyDescent="0.25">
      <c r="A437" s="73"/>
      <c r="B437" s="73"/>
    </row>
    <row r="438" spans="1:2" x14ac:dyDescent="0.25">
      <c r="A438" s="73"/>
      <c r="B438" s="73"/>
    </row>
    <row r="439" spans="1:2" x14ac:dyDescent="0.25">
      <c r="A439" s="73"/>
      <c r="B439" s="73"/>
    </row>
    <row r="440" spans="1:2" x14ac:dyDescent="0.25">
      <c r="A440" s="73"/>
      <c r="B440" s="73"/>
    </row>
    <row r="441" spans="1:2" x14ac:dyDescent="0.25">
      <c r="A441" s="73"/>
      <c r="B441" s="73"/>
    </row>
    <row r="442" spans="1:2" x14ac:dyDescent="0.25">
      <c r="A442" s="73"/>
      <c r="B442" s="73"/>
    </row>
    <row r="443" spans="1:2" x14ac:dyDescent="0.25">
      <c r="A443" s="73"/>
      <c r="B443" s="73"/>
    </row>
    <row r="444" spans="1:2" x14ac:dyDescent="0.25">
      <c r="A444" s="73"/>
      <c r="B444" s="73"/>
    </row>
    <row r="445" spans="1:2" x14ac:dyDescent="0.25">
      <c r="A445" s="73"/>
      <c r="B445" s="73"/>
    </row>
    <row r="446" spans="1:2" x14ac:dyDescent="0.25">
      <c r="A446" s="73"/>
      <c r="B446" s="73"/>
    </row>
    <row r="447" spans="1:2" x14ac:dyDescent="0.25">
      <c r="A447" s="73"/>
      <c r="B447" s="73"/>
    </row>
    <row r="448" spans="1:2" x14ac:dyDescent="0.25">
      <c r="A448" s="73"/>
      <c r="B448" s="73"/>
    </row>
    <row r="449" spans="1:2" x14ac:dyDescent="0.25">
      <c r="A449" s="73"/>
      <c r="B449" s="73"/>
    </row>
    <row r="450" spans="1:2" x14ac:dyDescent="0.25">
      <c r="A450" s="73"/>
      <c r="B450" s="73"/>
    </row>
    <row r="451" spans="1:2" x14ac:dyDescent="0.25">
      <c r="A451" s="73"/>
      <c r="B451" s="73"/>
    </row>
    <row r="452" spans="1:2" x14ac:dyDescent="0.25">
      <c r="A452" s="73"/>
      <c r="B452" s="73"/>
    </row>
    <row r="453" spans="1:2" x14ac:dyDescent="0.25">
      <c r="A453" s="73"/>
      <c r="B453" s="73"/>
    </row>
    <row r="454" spans="1:2" x14ac:dyDescent="0.25">
      <c r="A454" s="73"/>
      <c r="B454" s="73"/>
    </row>
    <row r="455" spans="1:2" x14ac:dyDescent="0.25">
      <c r="A455" s="73"/>
      <c r="B455" s="73"/>
    </row>
    <row r="456" spans="1:2" x14ac:dyDescent="0.25">
      <c r="A456" s="73"/>
      <c r="B456" s="73"/>
    </row>
    <row r="457" spans="1:2" x14ac:dyDescent="0.25">
      <c r="A457" s="73"/>
      <c r="B457" s="73"/>
    </row>
    <row r="458" spans="1:2" x14ac:dyDescent="0.25">
      <c r="A458" s="73"/>
      <c r="B458" s="73"/>
    </row>
    <row r="459" spans="1:2" x14ac:dyDescent="0.25">
      <c r="A459" s="73"/>
      <c r="B459" s="73"/>
    </row>
    <row r="460" spans="1:2" x14ac:dyDescent="0.25">
      <c r="A460" s="73"/>
      <c r="B460" s="73"/>
    </row>
    <row r="461" spans="1:2" x14ac:dyDescent="0.25">
      <c r="A461" s="73"/>
      <c r="B461" s="73"/>
    </row>
    <row r="462" spans="1:2" x14ac:dyDescent="0.25">
      <c r="A462" s="73"/>
      <c r="B462" s="73"/>
    </row>
    <row r="463" spans="1:2" x14ac:dyDescent="0.25">
      <c r="A463" s="73"/>
      <c r="B463" s="73"/>
    </row>
    <row r="464" spans="1:2" x14ac:dyDescent="0.25">
      <c r="A464" s="73"/>
      <c r="B464" s="73"/>
    </row>
    <row r="465" spans="1:2" x14ac:dyDescent="0.25">
      <c r="A465" s="73"/>
      <c r="B465" s="73"/>
    </row>
    <row r="466" spans="1:2" x14ac:dyDescent="0.25">
      <c r="A466" s="73"/>
      <c r="B466" s="73"/>
    </row>
    <row r="467" spans="1:2" x14ac:dyDescent="0.25">
      <c r="A467" s="73"/>
      <c r="B467" s="73"/>
    </row>
    <row r="468" spans="1:2" x14ac:dyDescent="0.25">
      <c r="A468" s="73"/>
      <c r="B468" s="73"/>
    </row>
    <row r="469" spans="1:2" x14ac:dyDescent="0.25">
      <c r="A469" s="73"/>
      <c r="B469" s="73"/>
    </row>
    <row r="470" spans="1:2" x14ac:dyDescent="0.25">
      <c r="A470" s="73"/>
      <c r="B470" s="73"/>
    </row>
    <row r="471" spans="1:2" x14ac:dyDescent="0.25">
      <c r="A471" s="73"/>
      <c r="B471" s="73"/>
    </row>
    <row r="472" spans="1:2" x14ac:dyDescent="0.25">
      <c r="A472" s="73"/>
      <c r="B472" s="73"/>
    </row>
    <row r="473" spans="1:2" x14ac:dyDescent="0.25">
      <c r="A473" s="73"/>
      <c r="B473" s="73"/>
    </row>
    <row r="474" spans="1:2" x14ac:dyDescent="0.25">
      <c r="A474" s="73"/>
      <c r="B474" s="73"/>
    </row>
    <row r="475" spans="1:2" x14ac:dyDescent="0.25">
      <c r="A475" s="73"/>
      <c r="B475" s="73"/>
    </row>
    <row r="476" spans="1:2" x14ac:dyDescent="0.25">
      <c r="A476" s="73"/>
      <c r="B476" s="73"/>
    </row>
    <row r="477" spans="1:2" x14ac:dyDescent="0.25">
      <c r="A477" s="73"/>
      <c r="B477" s="73"/>
    </row>
    <row r="478" spans="1:2" x14ac:dyDescent="0.25">
      <c r="A478" s="73"/>
      <c r="B478" s="73"/>
    </row>
    <row r="479" spans="1:2" x14ac:dyDescent="0.25">
      <c r="A479" s="73"/>
      <c r="B479" s="73"/>
    </row>
    <row r="480" spans="1:2" x14ac:dyDescent="0.25">
      <c r="A480" s="73"/>
      <c r="B480" s="73"/>
    </row>
    <row r="481" spans="1:2" x14ac:dyDescent="0.25">
      <c r="A481" s="73"/>
      <c r="B481" s="73"/>
    </row>
    <row r="482" spans="1:2" x14ac:dyDescent="0.25">
      <c r="A482" s="73"/>
      <c r="B482" s="73"/>
    </row>
    <row r="483" spans="1:2" x14ac:dyDescent="0.25">
      <c r="A483" s="73"/>
      <c r="B483" s="73"/>
    </row>
    <row r="484" spans="1:2" x14ac:dyDescent="0.25">
      <c r="A484" s="73"/>
      <c r="B484" s="73"/>
    </row>
    <row r="485" spans="1:2" x14ac:dyDescent="0.25">
      <c r="A485" s="73"/>
      <c r="B485" s="73"/>
    </row>
    <row r="486" spans="1:2" x14ac:dyDescent="0.25">
      <c r="A486" s="73"/>
      <c r="B486" s="73"/>
    </row>
    <row r="487" spans="1:2" x14ac:dyDescent="0.25">
      <c r="A487" s="73"/>
      <c r="B487" s="73"/>
    </row>
    <row r="488" spans="1:2" x14ac:dyDescent="0.25">
      <c r="A488" s="73"/>
      <c r="B488" s="73"/>
    </row>
    <row r="489" spans="1:2" x14ac:dyDescent="0.25">
      <c r="A489" s="73"/>
      <c r="B489" s="73"/>
    </row>
    <row r="490" spans="1:2" x14ac:dyDescent="0.25">
      <c r="A490" s="73"/>
      <c r="B490" s="73"/>
    </row>
    <row r="491" spans="1:2" x14ac:dyDescent="0.25">
      <c r="A491" s="73"/>
      <c r="B491" s="73"/>
    </row>
    <row r="492" spans="1:2" x14ac:dyDescent="0.25">
      <c r="A492" s="73"/>
      <c r="B492" s="73"/>
    </row>
    <row r="493" spans="1:2" x14ac:dyDescent="0.25">
      <c r="A493" s="73"/>
      <c r="B493" s="73"/>
    </row>
    <row r="494" spans="1:2" x14ac:dyDescent="0.25">
      <c r="A494" s="73"/>
      <c r="B494" s="73"/>
    </row>
    <row r="495" spans="1:2" x14ac:dyDescent="0.25">
      <c r="A495" s="73"/>
      <c r="B495" s="73"/>
    </row>
    <row r="496" spans="1:2" x14ac:dyDescent="0.25">
      <c r="A496" s="73"/>
      <c r="B496" s="73"/>
    </row>
    <row r="497" spans="1:2" x14ac:dyDescent="0.25">
      <c r="A497" s="73"/>
      <c r="B497" s="73"/>
    </row>
    <row r="498" spans="1:2" x14ac:dyDescent="0.25">
      <c r="A498" s="73"/>
      <c r="B498" s="73"/>
    </row>
    <row r="499" spans="1:2" x14ac:dyDescent="0.25">
      <c r="A499" s="73"/>
      <c r="B499" s="73"/>
    </row>
    <row r="500" spans="1:2" x14ac:dyDescent="0.25">
      <c r="A500" s="73"/>
      <c r="B500" s="73"/>
    </row>
    <row r="501" spans="1:2" x14ac:dyDescent="0.25">
      <c r="A501" s="73"/>
      <c r="B501" s="73"/>
    </row>
    <row r="502" spans="1:2" x14ac:dyDescent="0.25">
      <c r="A502" s="73"/>
      <c r="B502" s="73"/>
    </row>
    <row r="503" spans="1:2" x14ac:dyDescent="0.25">
      <c r="A503" s="73"/>
      <c r="B503" s="73"/>
    </row>
    <row r="504" spans="1:2" x14ac:dyDescent="0.25">
      <c r="A504" s="73"/>
      <c r="B504" s="73"/>
    </row>
    <row r="505" spans="1:2" x14ac:dyDescent="0.25">
      <c r="A505" s="73"/>
      <c r="B505" s="73"/>
    </row>
    <row r="506" spans="1:2" x14ac:dyDescent="0.25">
      <c r="A506" s="73"/>
      <c r="B506" s="73"/>
    </row>
    <row r="507" spans="1:2" x14ac:dyDescent="0.25">
      <c r="A507" s="73"/>
      <c r="B507" s="73"/>
    </row>
    <row r="508" spans="1:2" x14ac:dyDescent="0.25">
      <c r="A508" s="73"/>
      <c r="B508" s="73"/>
    </row>
    <row r="509" spans="1:2" x14ac:dyDescent="0.25">
      <c r="A509" s="73"/>
      <c r="B509" s="73"/>
    </row>
    <row r="510" spans="1:2" x14ac:dyDescent="0.25">
      <c r="A510" s="73"/>
      <c r="B510" s="73"/>
    </row>
    <row r="511" spans="1:2" x14ac:dyDescent="0.25">
      <c r="A511" s="73"/>
      <c r="B511" s="73"/>
    </row>
    <row r="512" spans="1:2" x14ac:dyDescent="0.25">
      <c r="A512" s="73"/>
      <c r="B512" s="73"/>
    </row>
    <row r="513" spans="1:2" x14ac:dyDescent="0.25">
      <c r="A513" s="73"/>
      <c r="B513" s="73"/>
    </row>
    <row r="514" spans="1:2" x14ac:dyDescent="0.25">
      <c r="A514" s="73"/>
      <c r="B514" s="73"/>
    </row>
    <row r="515" spans="1:2" x14ac:dyDescent="0.25">
      <c r="A515" s="73"/>
      <c r="B515" s="73"/>
    </row>
    <row r="516" spans="1:2" x14ac:dyDescent="0.25">
      <c r="A516" s="73"/>
      <c r="B516" s="73"/>
    </row>
    <row r="517" spans="1:2" x14ac:dyDescent="0.25">
      <c r="A517" s="73"/>
      <c r="B517" s="73"/>
    </row>
    <row r="518" spans="1:2" x14ac:dyDescent="0.25">
      <c r="A518" s="73"/>
      <c r="B518" s="73"/>
    </row>
    <row r="519" spans="1:2" x14ac:dyDescent="0.25">
      <c r="A519" s="73"/>
      <c r="B519" s="73"/>
    </row>
    <row r="520" spans="1:2" x14ac:dyDescent="0.25">
      <c r="A520" s="73"/>
      <c r="B520" s="73"/>
    </row>
    <row r="521" spans="1:2" x14ac:dyDescent="0.25">
      <c r="A521" s="73"/>
      <c r="B521" s="73"/>
    </row>
    <row r="522" spans="1:2" x14ac:dyDescent="0.25">
      <c r="A522" s="73"/>
      <c r="B522" s="73"/>
    </row>
    <row r="523" spans="1:2" x14ac:dyDescent="0.25">
      <c r="A523" s="73"/>
      <c r="B523" s="73"/>
    </row>
    <row r="524" spans="1:2" x14ac:dyDescent="0.25">
      <c r="A524" s="73"/>
      <c r="B524" s="73"/>
    </row>
    <row r="525" spans="1:2" x14ac:dyDescent="0.25">
      <c r="A525" s="73"/>
      <c r="B525" s="73"/>
    </row>
    <row r="526" spans="1:2" x14ac:dyDescent="0.25">
      <c r="A526" s="73"/>
      <c r="B526" s="73"/>
    </row>
    <row r="527" spans="1:2" x14ac:dyDescent="0.25">
      <c r="A527" s="73"/>
      <c r="B527" s="73"/>
    </row>
    <row r="528" spans="1:2" x14ac:dyDescent="0.25">
      <c r="A528" s="73"/>
      <c r="B528" s="73"/>
    </row>
    <row r="529" spans="1:2" x14ac:dyDescent="0.25">
      <c r="A529" s="73"/>
      <c r="B529" s="73"/>
    </row>
    <row r="530" spans="1:2" x14ac:dyDescent="0.25">
      <c r="A530" s="73"/>
      <c r="B530" s="73"/>
    </row>
    <row r="531" spans="1:2" x14ac:dyDescent="0.25">
      <c r="A531" s="73"/>
      <c r="B531" s="73"/>
    </row>
    <row r="532" spans="1:2" x14ac:dyDescent="0.25">
      <c r="A532" s="73"/>
      <c r="B532" s="73"/>
    </row>
    <row r="533" spans="1:2" x14ac:dyDescent="0.25">
      <c r="A533" s="73"/>
      <c r="B533" s="73"/>
    </row>
    <row r="534" spans="1:2" x14ac:dyDescent="0.25">
      <c r="A534" s="73"/>
      <c r="B534" s="73"/>
    </row>
    <row r="535" spans="1:2" x14ac:dyDescent="0.25">
      <c r="A535" s="73"/>
      <c r="B535" s="73"/>
    </row>
    <row r="536" spans="1:2" x14ac:dyDescent="0.25">
      <c r="A536" s="73"/>
      <c r="B536" s="73"/>
    </row>
    <row r="537" spans="1:2" x14ac:dyDescent="0.25">
      <c r="A537" s="73"/>
      <c r="B537" s="73"/>
    </row>
    <row r="538" spans="1:2" x14ac:dyDescent="0.25">
      <c r="A538" s="73"/>
      <c r="B538" s="73"/>
    </row>
    <row r="539" spans="1:2" x14ac:dyDescent="0.25">
      <c r="A539" s="73"/>
      <c r="B539" s="73"/>
    </row>
    <row r="540" spans="1:2" x14ac:dyDescent="0.25">
      <c r="A540" s="73"/>
      <c r="B540" s="73"/>
    </row>
    <row r="541" spans="1:2" x14ac:dyDescent="0.25">
      <c r="A541" s="73"/>
      <c r="B541" s="73"/>
    </row>
    <row r="542" spans="1:2" x14ac:dyDescent="0.25">
      <c r="A542" s="73"/>
      <c r="B542" s="73"/>
    </row>
    <row r="543" spans="1:2" x14ac:dyDescent="0.25">
      <c r="A543" s="73"/>
      <c r="B543" s="73"/>
    </row>
    <row r="544" spans="1:2" x14ac:dyDescent="0.25">
      <c r="A544" s="73"/>
      <c r="B544" s="73"/>
    </row>
    <row r="545" spans="1:2" x14ac:dyDescent="0.25">
      <c r="A545" s="73"/>
      <c r="B545" s="73"/>
    </row>
    <row r="546" spans="1:2" x14ac:dyDescent="0.25">
      <c r="A546" s="73"/>
      <c r="B546" s="73"/>
    </row>
    <row r="547" spans="1:2" x14ac:dyDescent="0.25">
      <c r="A547" s="73"/>
      <c r="B547" s="73"/>
    </row>
    <row r="548" spans="1:2" x14ac:dyDescent="0.25">
      <c r="A548" s="73"/>
      <c r="B548" s="73"/>
    </row>
    <row r="549" spans="1:2" x14ac:dyDescent="0.25">
      <c r="A549" s="73"/>
      <c r="B549" s="73"/>
    </row>
    <row r="550" spans="1:2" x14ac:dyDescent="0.25">
      <c r="A550" s="73"/>
      <c r="B550" s="73"/>
    </row>
    <row r="551" spans="1:2" x14ac:dyDescent="0.25">
      <c r="A551" s="73"/>
      <c r="B551" s="73"/>
    </row>
    <row r="552" spans="1:2" x14ac:dyDescent="0.25">
      <c r="A552" s="73"/>
      <c r="B552" s="73"/>
    </row>
    <row r="553" spans="1:2" x14ac:dyDescent="0.25">
      <c r="A553" s="73"/>
      <c r="B553" s="73"/>
    </row>
    <row r="554" spans="1:2" x14ac:dyDescent="0.25">
      <c r="A554" s="73"/>
      <c r="B554" s="73"/>
    </row>
    <row r="555" spans="1:2" x14ac:dyDescent="0.25">
      <c r="A555" s="73"/>
      <c r="B555" s="73"/>
    </row>
    <row r="556" spans="1:2" x14ac:dyDescent="0.25">
      <c r="A556" s="73"/>
      <c r="B556" s="73"/>
    </row>
    <row r="557" spans="1:2" x14ac:dyDescent="0.25">
      <c r="A557" s="73"/>
      <c r="B557" s="73"/>
    </row>
    <row r="558" spans="1:2" x14ac:dyDescent="0.25">
      <c r="A558" s="73"/>
      <c r="B558" s="73"/>
    </row>
    <row r="559" spans="1:2" x14ac:dyDescent="0.25">
      <c r="A559" s="73"/>
      <c r="B559" s="73"/>
    </row>
    <row r="560" spans="1:2" x14ac:dyDescent="0.25">
      <c r="A560" s="73"/>
      <c r="B560" s="73"/>
    </row>
    <row r="561" spans="1:2" x14ac:dyDescent="0.25">
      <c r="A561" s="73"/>
      <c r="B561" s="73"/>
    </row>
    <row r="562" spans="1:2" x14ac:dyDescent="0.25">
      <c r="A562" s="73"/>
      <c r="B562" s="73"/>
    </row>
    <row r="563" spans="1:2" x14ac:dyDescent="0.25">
      <c r="A563" s="73"/>
      <c r="B563" s="73"/>
    </row>
    <row r="564" spans="1:2" x14ac:dyDescent="0.25">
      <c r="A564" s="73"/>
      <c r="B564" s="73"/>
    </row>
    <row r="565" spans="1:2" x14ac:dyDescent="0.25">
      <c r="A565" s="73"/>
      <c r="B565" s="73"/>
    </row>
    <row r="566" spans="1:2" x14ac:dyDescent="0.25">
      <c r="A566" s="73"/>
      <c r="B566" s="73"/>
    </row>
    <row r="567" spans="1:2" x14ac:dyDescent="0.25">
      <c r="A567" s="73"/>
      <c r="B567" s="73"/>
    </row>
    <row r="568" spans="1:2" x14ac:dyDescent="0.25">
      <c r="A568" s="73"/>
      <c r="B568" s="73"/>
    </row>
    <row r="569" spans="1:2" x14ac:dyDescent="0.25">
      <c r="A569" s="73"/>
      <c r="B569" s="73"/>
    </row>
    <row r="570" spans="1:2" x14ac:dyDescent="0.25">
      <c r="A570" s="73"/>
      <c r="B570" s="73"/>
    </row>
    <row r="571" spans="1:2" x14ac:dyDescent="0.25">
      <c r="A571" s="73"/>
      <c r="B571" s="73"/>
    </row>
    <row r="572" spans="1:2" x14ac:dyDescent="0.25">
      <c r="A572" s="73"/>
      <c r="B572" s="73"/>
    </row>
    <row r="573" spans="1:2" x14ac:dyDescent="0.25">
      <c r="A573" s="73"/>
      <c r="B573" s="73"/>
    </row>
    <row r="574" spans="1:2" x14ac:dyDescent="0.25">
      <c r="A574" s="73"/>
      <c r="B574" s="73"/>
    </row>
    <row r="575" spans="1:2" x14ac:dyDescent="0.25">
      <c r="A575" s="73"/>
      <c r="B575" s="73"/>
    </row>
    <row r="576" spans="1:2" x14ac:dyDescent="0.25">
      <c r="A576" s="73"/>
      <c r="B576" s="73"/>
    </row>
    <row r="577" spans="1:2" x14ac:dyDescent="0.25">
      <c r="A577" s="73"/>
      <c r="B577" s="73"/>
    </row>
    <row r="578" spans="1:2" x14ac:dyDescent="0.25">
      <c r="A578" s="73"/>
      <c r="B578" s="73"/>
    </row>
    <row r="579" spans="1:2" x14ac:dyDescent="0.25">
      <c r="A579" s="73"/>
      <c r="B579" s="73"/>
    </row>
    <row r="580" spans="1:2" x14ac:dyDescent="0.25">
      <c r="A580" s="73"/>
      <c r="B580" s="73"/>
    </row>
    <row r="581" spans="1:2" x14ac:dyDescent="0.25">
      <c r="A581" s="73"/>
      <c r="B581" s="73"/>
    </row>
    <row r="582" spans="1:2" x14ac:dyDescent="0.25">
      <c r="A582" s="73"/>
      <c r="B582" s="73"/>
    </row>
    <row r="583" spans="1:2" x14ac:dyDescent="0.25">
      <c r="A583" s="73"/>
      <c r="B583" s="73"/>
    </row>
    <row r="584" spans="1:2" x14ac:dyDescent="0.25">
      <c r="A584" s="73"/>
      <c r="B584" s="73"/>
    </row>
    <row r="585" spans="1:2" x14ac:dyDescent="0.25">
      <c r="A585" s="73"/>
      <c r="B585" s="73"/>
    </row>
    <row r="586" spans="1:2" x14ac:dyDescent="0.25">
      <c r="A586" s="73"/>
      <c r="B586" s="73"/>
    </row>
    <row r="587" spans="1:2" x14ac:dyDescent="0.25">
      <c r="A587" s="73"/>
      <c r="B587" s="73"/>
    </row>
    <row r="588" spans="1:2" x14ac:dyDescent="0.25">
      <c r="A588" s="73"/>
      <c r="B588" s="73"/>
    </row>
    <row r="589" spans="1:2" x14ac:dyDescent="0.25">
      <c r="A589" s="73"/>
      <c r="B589" s="73"/>
    </row>
    <row r="590" spans="1:2" x14ac:dyDescent="0.25">
      <c r="A590" s="73"/>
      <c r="B590" s="73"/>
    </row>
    <row r="591" spans="1:2" x14ac:dyDescent="0.25">
      <c r="A591" s="73"/>
      <c r="B591" s="73"/>
    </row>
    <row r="592" spans="1:2" x14ac:dyDescent="0.25">
      <c r="A592" s="73"/>
      <c r="B592" s="73"/>
    </row>
    <row r="593" spans="1:2" x14ac:dyDescent="0.25">
      <c r="A593" s="73"/>
      <c r="B593" s="73"/>
    </row>
    <row r="594" spans="1:2" x14ac:dyDescent="0.25">
      <c r="A594" s="73"/>
      <c r="B594" s="73"/>
    </row>
    <row r="595" spans="1:2" x14ac:dyDescent="0.25">
      <c r="A595" s="73"/>
      <c r="B595" s="73"/>
    </row>
    <row r="596" spans="1:2" x14ac:dyDescent="0.25">
      <c r="A596" s="73"/>
      <c r="B596" s="73"/>
    </row>
    <row r="597" spans="1:2" x14ac:dyDescent="0.25">
      <c r="A597" s="73"/>
      <c r="B597" s="73"/>
    </row>
    <row r="598" spans="1:2" x14ac:dyDescent="0.25">
      <c r="A598" s="73"/>
      <c r="B598" s="73"/>
    </row>
    <row r="599" spans="1:2" x14ac:dyDescent="0.25">
      <c r="A599" s="73"/>
      <c r="B599" s="73"/>
    </row>
    <row r="600" spans="1:2" x14ac:dyDescent="0.25">
      <c r="A600" s="73"/>
      <c r="B600" s="73"/>
    </row>
    <row r="601" spans="1:2" x14ac:dyDescent="0.25">
      <c r="A601" s="73"/>
      <c r="B601" s="73"/>
    </row>
    <row r="602" spans="1:2" x14ac:dyDescent="0.25">
      <c r="A602" s="73"/>
      <c r="B602" s="73"/>
    </row>
    <row r="603" spans="1:2" x14ac:dyDescent="0.25">
      <c r="A603" s="73"/>
      <c r="B603" s="73"/>
    </row>
    <row r="604" spans="1:2" x14ac:dyDescent="0.25">
      <c r="A604" s="73"/>
      <c r="B604" s="73"/>
    </row>
    <row r="605" spans="1:2" x14ac:dyDescent="0.25">
      <c r="A605" s="73"/>
      <c r="B605" s="73"/>
    </row>
    <row r="606" spans="1:2" x14ac:dyDescent="0.25">
      <c r="A606" s="73"/>
      <c r="B606" s="73"/>
    </row>
    <row r="607" spans="1:2" x14ac:dyDescent="0.25">
      <c r="A607" s="73"/>
      <c r="B607" s="73"/>
    </row>
    <row r="608" spans="1:2" x14ac:dyDescent="0.25">
      <c r="A608" s="73"/>
      <c r="B608" s="73"/>
    </row>
    <row r="609" spans="1:2" x14ac:dyDescent="0.25">
      <c r="A609" s="73"/>
      <c r="B609" s="73"/>
    </row>
    <row r="610" spans="1:2" x14ac:dyDescent="0.25">
      <c r="A610" s="73"/>
      <c r="B610" s="73"/>
    </row>
    <row r="611" spans="1:2" x14ac:dyDescent="0.25">
      <c r="A611" s="73"/>
      <c r="B611" s="73"/>
    </row>
    <row r="612" spans="1:2" x14ac:dyDescent="0.25">
      <c r="A612" s="73"/>
      <c r="B612" s="73"/>
    </row>
    <row r="613" spans="1:2" x14ac:dyDescent="0.25">
      <c r="A613" s="73"/>
      <c r="B613" s="73"/>
    </row>
    <row r="614" spans="1:2" x14ac:dyDescent="0.25">
      <c r="A614" s="73"/>
      <c r="B614" s="73"/>
    </row>
    <row r="615" spans="1:2" x14ac:dyDescent="0.25">
      <c r="A615" s="73"/>
      <c r="B615" s="73"/>
    </row>
    <row r="616" spans="1:2" x14ac:dyDescent="0.25">
      <c r="A616" s="73"/>
      <c r="B616" s="73"/>
    </row>
    <row r="617" spans="1:2" x14ac:dyDescent="0.25">
      <c r="A617" s="73"/>
      <c r="B617" s="73"/>
    </row>
    <row r="618" spans="1:2" x14ac:dyDescent="0.25">
      <c r="A618" s="73"/>
      <c r="B618" s="73"/>
    </row>
    <row r="619" spans="1:2" x14ac:dyDescent="0.25">
      <c r="A619" s="73"/>
      <c r="B619" s="73"/>
    </row>
    <row r="620" spans="1:2" x14ac:dyDescent="0.25">
      <c r="A620" s="73"/>
      <c r="B620" s="73"/>
    </row>
    <row r="621" spans="1:2" x14ac:dyDescent="0.25">
      <c r="A621" s="73"/>
      <c r="B621" s="73"/>
    </row>
    <row r="622" spans="1:2" x14ac:dyDescent="0.25">
      <c r="A622" s="73"/>
      <c r="B622" s="73"/>
    </row>
    <row r="623" spans="1:2" x14ac:dyDescent="0.25">
      <c r="A623" s="73"/>
      <c r="B623" s="73"/>
    </row>
    <row r="624" spans="1:2" x14ac:dyDescent="0.25">
      <c r="A624" s="73"/>
      <c r="B624" s="73"/>
    </row>
    <row r="625" spans="1:2" x14ac:dyDescent="0.25">
      <c r="A625" s="73"/>
      <c r="B625" s="73"/>
    </row>
    <row r="626" spans="1:2" x14ac:dyDescent="0.25">
      <c r="A626" s="73"/>
      <c r="B626" s="73"/>
    </row>
    <row r="627" spans="1:2" x14ac:dyDescent="0.25">
      <c r="A627" s="73"/>
      <c r="B627" s="73"/>
    </row>
    <row r="628" spans="1:2" x14ac:dyDescent="0.25">
      <c r="A628" s="73"/>
      <c r="B628" s="73"/>
    </row>
    <row r="629" spans="1:2" x14ac:dyDescent="0.25">
      <c r="A629" s="73"/>
      <c r="B629" s="73"/>
    </row>
    <row r="630" spans="1:2" x14ac:dyDescent="0.25">
      <c r="A630" s="73"/>
      <c r="B630" s="73"/>
    </row>
    <row r="631" spans="1:2" x14ac:dyDescent="0.25">
      <c r="A631" s="73"/>
      <c r="B631" s="73"/>
    </row>
    <row r="632" spans="1:2" x14ac:dyDescent="0.25">
      <c r="A632" s="73"/>
      <c r="B632" s="73"/>
    </row>
    <row r="633" spans="1:2" x14ac:dyDescent="0.25">
      <c r="A633" s="73"/>
      <c r="B633" s="73"/>
    </row>
    <row r="634" spans="1:2" x14ac:dyDescent="0.25">
      <c r="A634" s="73"/>
      <c r="B634" s="73"/>
    </row>
    <row r="635" spans="1:2" x14ac:dyDescent="0.25">
      <c r="A635" s="73"/>
      <c r="B635" s="73"/>
    </row>
    <row r="636" spans="1:2" x14ac:dyDescent="0.25">
      <c r="A636" s="73"/>
      <c r="B636" s="73"/>
    </row>
    <row r="637" spans="1:2" x14ac:dyDescent="0.25">
      <c r="A637" s="73"/>
      <c r="B637" s="73"/>
    </row>
    <row r="638" spans="1:2" x14ac:dyDescent="0.25">
      <c r="A638" s="73"/>
      <c r="B638" s="73"/>
    </row>
    <row r="639" spans="1:2" x14ac:dyDescent="0.25">
      <c r="A639" s="73"/>
      <c r="B639" s="73"/>
    </row>
    <row r="640" spans="1:2" x14ac:dyDescent="0.25">
      <c r="A640" s="73"/>
      <c r="B640" s="73"/>
    </row>
    <row r="641" spans="1:2" x14ac:dyDescent="0.25">
      <c r="A641" s="73"/>
      <c r="B641" s="73"/>
    </row>
    <row r="642" spans="1:2" x14ac:dyDescent="0.25">
      <c r="A642" s="73"/>
      <c r="B642" s="73"/>
    </row>
    <row r="643" spans="1:2" x14ac:dyDescent="0.25">
      <c r="A643" s="73"/>
      <c r="B643" s="73"/>
    </row>
    <row r="644" spans="1:2" x14ac:dyDescent="0.25">
      <c r="A644" s="73"/>
      <c r="B644" s="73"/>
    </row>
    <row r="645" spans="1:2" x14ac:dyDescent="0.25">
      <c r="A645" s="73"/>
      <c r="B645" s="73"/>
    </row>
    <row r="646" spans="1:2" x14ac:dyDescent="0.25">
      <c r="A646" s="73"/>
      <c r="B646" s="73"/>
    </row>
    <row r="647" spans="1:2" x14ac:dyDescent="0.25">
      <c r="A647" s="73"/>
      <c r="B647" s="73"/>
    </row>
    <row r="648" spans="1:2" x14ac:dyDescent="0.25">
      <c r="A648" s="73"/>
      <c r="B648" s="73"/>
    </row>
    <row r="649" spans="1:2" x14ac:dyDescent="0.25">
      <c r="A649" s="73"/>
      <c r="B649" s="73"/>
    </row>
    <row r="650" spans="1:2" x14ac:dyDescent="0.25">
      <c r="A650" s="73"/>
      <c r="B650" s="73"/>
    </row>
    <row r="651" spans="1:2" x14ac:dyDescent="0.25">
      <c r="A651" s="73"/>
      <c r="B651" s="73"/>
    </row>
    <row r="652" spans="1:2" x14ac:dyDescent="0.25">
      <c r="A652" s="73"/>
      <c r="B652" s="73"/>
    </row>
    <row r="653" spans="1:2" x14ac:dyDescent="0.25">
      <c r="A653" s="73"/>
      <c r="B653" s="73"/>
    </row>
    <row r="654" spans="1:2" x14ac:dyDescent="0.25">
      <c r="A654" s="73"/>
      <c r="B654" s="73"/>
    </row>
    <row r="655" spans="1:2" x14ac:dyDescent="0.25">
      <c r="A655" s="73"/>
      <c r="B655" s="73"/>
    </row>
    <row r="656" spans="1:2" x14ac:dyDescent="0.25">
      <c r="A656" s="73"/>
      <c r="B656" s="73"/>
    </row>
    <row r="657" spans="1:2" x14ac:dyDescent="0.25">
      <c r="A657" s="73"/>
      <c r="B657" s="73"/>
    </row>
    <row r="658" spans="1:2" x14ac:dyDescent="0.25">
      <c r="A658" s="73"/>
      <c r="B658" s="73"/>
    </row>
    <row r="659" spans="1:2" x14ac:dyDescent="0.25">
      <c r="A659" s="73"/>
      <c r="B659" s="73"/>
    </row>
    <row r="660" spans="1:2" x14ac:dyDescent="0.25">
      <c r="A660" s="73"/>
      <c r="B660" s="73"/>
    </row>
    <row r="661" spans="1:2" x14ac:dyDescent="0.25">
      <c r="A661" s="73"/>
      <c r="B661" s="73"/>
    </row>
    <row r="662" spans="1:2" x14ac:dyDescent="0.25">
      <c r="A662" s="73"/>
      <c r="B662" s="73"/>
    </row>
    <row r="663" spans="1:2" x14ac:dyDescent="0.25">
      <c r="A663" s="73"/>
      <c r="B663" s="73"/>
    </row>
    <row r="664" spans="1:2" x14ac:dyDescent="0.25">
      <c r="A664" s="73"/>
      <c r="B664" s="73"/>
    </row>
    <row r="665" spans="1:2" x14ac:dyDescent="0.25">
      <c r="A665" s="73"/>
      <c r="B665" s="73"/>
    </row>
    <row r="666" spans="1:2" x14ac:dyDescent="0.25">
      <c r="A666" s="73"/>
      <c r="B666" s="73"/>
    </row>
    <row r="667" spans="1:2" x14ac:dyDescent="0.25">
      <c r="A667" s="73"/>
      <c r="B667" s="73"/>
    </row>
    <row r="668" spans="1:2" x14ac:dyDescent="0.25">
      <c r="A668" s="73"/>
      <c r="B668" s="73"/>
    </row>
    <row r="669" spans="1:2" x14ac:dyDescent="0.25">
      <c r="A669" s="73"/>
      <c r="B669" s="73"/>
    </row>
    <row r="670" spans="1:2" x14ac:dyDescent="0.25">
      <c r="A670" s="73"/>
      <c r="B670" s="73"/>
    </row>
    <row r="671" spans="1:2" x14ac:dyDescent="0.25">
      <c r="A671" s="73"/>
      <c r="B671" s="73"/>
    </row>
    <row r="672" spans="1:2" x14ac:dyDescent="0.25">
      <c r="A672" s="73"/>
      <c r="B672" s="73"/>
    </row>
    <row r="673" spans="1:2" x14ac:dyDescent="0.25">
      <c r="A673" s="73"/>
      <c r="B673" s="73"/>
    </row>
    <row r="674" spans="1:2" x14ac:dyDescent="0.25">
      <c r="A674" s="73"/>
      <c r="B674" s="73"/>
    </row>
    <row r="675" spans="1:2" x14ac:dyDescent="0.25">
      <c r="A675" s="73"/>
      <c r="B675" s="73"/>
    </row>
    <row r="676" spans="1:2" x14ac:dyDescent="0.25">
      <c r="A676" s="73"/>
      <c r="B676" s="73"/>
    </row>
    <row r="677" spans="1:2" x14ac:dyDescent="0.25">
      <c r="A677" s="73"/>
      <c r="B677" s="73"/>
    </row>
    <row r="678" spans="1:2" x14ac:dyDescent="0.25">
      <c r="A678" s="73"/>
      <c r="B678" s="73"/>
    </row>
    <row r="679" spans="1:2" x14ac:dyDescent="0.25">
      <c r="A679" s="73"/>
      <c r="B679" s="73"/>
    </row>
    <row r="680" spans="1:2" x14ac:dyDescent="0.25">
      <c r="A680" s="73"/>
      <c r="B680" s="73"/>
    </row>
    <row r="681" spans="1:2" x14ac:dyDescent="0.25">
      <c r="A681" s="73"/>
      <c r="B681" s="73"/>
    </row>
    <row r="682" spans="1:2" x14ac:dyDescent="0.25">
      <c r="A682" s="73"/>
      <c r="B682" s="73"/>
    </row>
    <row r="683" spans="1:2" x14ac:dyDescent="0.25">
      <c r="A683" s="73"/>
      <c r="B683" s="73"/>
    </row>
    <row r="684" spans="1:2" x14ac:dyDescent="0.25">
      <c r="A684" s="73"/>
      <c r="B684" s="73"/>
    </row>
    <row r="685" spans="1:2" x14ac:dyDescent="0.25">
      <c r="A685" s="73"/>
      <c r="B685" s="73"/>
    </row>
    <row r="686" spans="1:2" x14ac:dyDescent="0.25">
      <c r="A686" s="73"/>
      <c r="B686" s="73"/>
    </row>
    <row r="687" spans="1:2" x14ac:dyDescent="0.25">
      <c r="A687" s="73"/>
      <c r="B687" s="73"/>
    </row>
    <row r="688" spans="1:2" x14ac:dyDescent="0.25">
      <c r="A688" s="73"/>
      <c r="B688" s="73"/>
    </row>
    <row r="689" spans="1:2" x14ac:dyDescent="0.25">
      <c r="A689" s="73"/>
      <c r="B689" s="73"/>
    </row>
    <row r="690" spans="1:2" x14ac:dyDescent="0.25">
      <c r="A690" s="73"/>
      <c r="B690" s="73"/>
    </row>
    <row r="691" spans="1:2" x14ac:dyDescent="0.25">
      <c r="A691" s="73"/>
      <c r="B691" s="73"/>
    </row>
    <row r="692" spans="1:2" x14ac:dyDescent="0.25">
      <c r="A692" s="73"/>
      <c r="B692" s="73"/>
    </row>
    <row r="693" spans="1:2" x14ac:dyDescent="0.25">
      <c r="A693" s="73"/>
      <c r="B693" s="73"/>
    </row>
    <row r="694" spans="1:2" x14ac:dyDescent="0.25">
      <c r="A694" s="73"/>
      <c r="B694" s="73"/>
    </row>
    <row r="695" spans="1:2" x14ac:dyDescent="0.25">
      <c r="A695" s="73"/>
      <c r="B695" s="73"/>
    </row>
    <row r="696" spans="1:2" x14ac:dyDescent="0.25">
      <c r="A696" s="73"/>
      <c r="B696" s="73"/>
    </row>
    <row r="697" spans="1:2" x14ac:dyDescent="0.25">
      <c r="A697" s="73"/>
      <c r="B697" s="73"/>
    </row>
    <row r="698" spans="1:2" x14ac:dyDescent="0.25">
      <c r="A698" s="73"/>
      <c r="B698" s="73"/>
    </row>
    <row r="699" spans="1:2" x14ac:dyDescent="0.25">
      <c r="A699" s="73"/>
      <c r="B699" s="73"/>
    </row>
    <row r="700" spans="1:2" x14ac:dyDescent="0.25">
      <c r="A700" s="73"/>
      <c r="B700" s="73"/>
    </row>
    <row r="701" spans="1:2" x14ac:dyDescent="0.25">
      <c r="A701" s="73"/>
      <c r="B701" s="73"/>
    </row>
    <row r="702" spans="1:2" x14ac:dyDescent="0.25">
      <c r="A702" s="73"/>
      <c r="B702" s="73"/>
    </row>
    <row r="703" spans="1:2" x14ac:dyDescent="0.25">
      <c r="A703" s="73"/>
      <c r="B703" s="73"/>
    </row>
    <row r="704" spans="1:2" x14ac:dyDescent="0.25">
      <c r="A704" s="73"/>
      <c r="B704" s="73"/>
    </row>
    <row r="705" spans="1:2" x14ac:dyDescent="0.25">
      <c r="A705" s="73"/>
      <c r="B705" s="73"/>
    </row>
    <row r="706" spans="1:2" x14ac:dyDescent="0.25">
      <c r="A706" s="73"/>
      <c r="B706" s="73"/>
    </row>
    <row r="707" spans="1:2" x14ac:dyDescent="0.25">
      <c r="A707" s="73"/>
      <c r="B707" s="73"/>
    </row>
    <row r="708" spans="1:2" x14ac:dyDescent="0.25">
      <c r="A708" s="73"/>
      <c r="B708" s="73"/>
    </row>
    <row r="709" spans="1:2" x14ac:dyDescent="0.25">
      <c r="A709" s="73"/>
      <c r="B709" s="73"/>
    </row>
    <row r="710" spans="1:2" x14ac:dyDescent="0.25">
      <c r="A710" s="73"/>
      <c r="B710" s="73"/>
    </row>
    <row r="711" spans="1:2" x14ac:dyDescent="0.25">
      <c r="A711" s="73"/>
      <c r="B711" s="73"/>
    </row>
    <row r="712" spans="1:2" x14ac:dyDescent="0.25">
      <c r="A712" s="73"/>
      <c r="B712" s="73"/>
    </row>
    <row r="713" spans="1:2" x14ac:dyDescent="0.25">
      <c r="A713" s="73"/>
      <c r="B713" s="73"/>
    </row>
    <row r="714" spans="1:2" x14ac:dyDescent="0.25">
      <c r="A714" s="73"/>
      <c r="B714" s="73"/>
    </row>
    <row r="715" spans="1:2" x14ac:dyDescent="0.25">
      <c r="A715" s="73"/>
      <c r="B715" s="73"/>
    </row>
    <row r="716" spans="1:2" x14ac:dyDescent="0.25">
      <c r="A716" s="73"/>
      <c r="B716" s="73"/>
    </row>
    <row r="717" spans="1:2" x14ac:dyDescent="0.25">
      <c r="A717" s="73"/>
      <c r="B717" s="73"/>
    </row>
    <row r="718" spans="1:2" x14ac:dyDescent="0.25">
      <c r="A718" s="73"/>
      <c r="B718" s="73"/>
    </row>
    <row r="719" spans="1:2" x14ac:dyDescent="0.25">
      <c r="A719" s="73"/>
      <c r="B719" s="73"/>
    </row>
    <row r="720" spans="1:2" x14ac:dyDescent="0.25">
      <c r="A720" s="73"/>
      <c r="B720" s="73"/>
    </row>
    <row r="721" spans="1:2" x14ac:dyDescent="0.25">
      <c r="A721" s="73"/>
      <c r="B721" s="73"/>
    </row>
    <row r="722" spans="1:2" x14ac:dyDescent="0.25">
      <c r="A722" s="73"/>
      <c r="B722" s="73"/>
    </row>
    <row r="723" spans="1:2" x14ac:dyDescent="0.25">
      <c r="A723" s="73"/>
      <c r="B723" s="73"/>
    </row>
    <row r="724" spans="1:2" x14ac:dyDescent="0.25">
      <c r="A724" s="73"/>
      <c r="B724" s="73"/>
    </row>
    <row r="725" spans="1:2" x14ac:dyDescent="0.25">
      <c r="A725" s="73"/>
      <c r="B725" s="73"/>
    </row>
    <row r="726" spans="1:2" x14ac:dyDescent="0.25">
      <c r="A726" s="73"/>
      <c r="B726" s="73"/>
    </row>
    <row r="727" spans="1:2" x14ac:dyDescent="0.25">
      <c r="A727" s="73"/>
      <c r="B727" s="73"/>
    </row>
    <row r="728" spans="1:2" x14ac:dyDescent="0.25">
      <c r="A728" s="73"/>
      <c r="B728" s="73"/>
    </row>
    <row r="729" spans="1:2" x14ac:dyDescent="0.25">
      <c r="A729" s="73"/>
      <c r="B729" s="73"/>
    </row>
    <row r="730" spans="1:2" x14ac:dyDescent="0.25">
      <c r="A730" s="73"/>
      <c r="B730" s="73"/>
    </row>
    <row r="731" spans="1:2" x14ac:dyDescent="0.25">
      <c r="A731" s="73"/>
      <c r="B731" s="73"/>
    </row>
    <row r="732" spans="1:2" x14ac:dyDescent="0.25">
      <c r="A732" s="73"/>
      <c r="B732" s="73"/>
    </row>
    <row r="733" spans="1:2" x14ac:dyDescent="0.25">
      <c r="A733" s="73"/>
      <c r="B733" s="73"/>
    </row>
    <row r="734" spans="1:2" x14ac:dyDescent="0.25">
      <c r="A734" s="73"/>
      <c r="B734" s="73"/>
    </row>
    <row r="735" spans="1:2" x14ac:dyDescent="0.25">
      <c r="A735" s="73"/>
      <c r="B735" s="73"/>
    </row>
    <row r="736" spans="1:2" x14ac:dyDescent="0.25">
      <c r="A736" s="73"/>
      <c r="B736" s="73"/>
    </row>
    <row r="737" spans="1:2" x14ac:dyDescent="0.25">
      <c r="A737" s="73"/>
      <c r="B737" s="73"/>
    </row>
    <row r="738" spans="1:2" x14ac:dyDescent="0.25">
      <c r="A738" s="73"/>
      <c r="B738" s="73"/>
    </row>
    <row r="739" spans="1:2" x14ac:dyDescent="0.25">
      <c r="A739" s="73"/>
      <c r="B739" s="73"/>
    </row>
    <row r="740" spans="1:2" x14ac:dyDescent="0.25">
      <c r="A740" s="73"/>
      <c r="B740" s="73"/>
    </row>
    <row r="741" spans="1:2" x14ac:dyDescent="0.25">
      <c r="A741" s="73"/>
      <c r="B741" s="73"/>
    </row>
    <row r="742" spans="1:2" x14ac:dyDescent="0.25">
      <c r="A742" s="73"/>
      <c r="B742" s="73"/>
    </row>
    <row r="743" spans="1:2" x14ac:dyDescent="0.25">
      <c r="A743" s="73"/>
      <c r="B743" s="73"/>
    </row>
    <row r="744" spans="1:2" x14ac:dyDescent="0.25">
      <c r="A744" s="73"/>
      <c r="B744" s="73"/>
    </row>
    <row r="745" spans="1:2" x14ac:dyDescent="0.25">
      <c r="A745" s="73"/>
      <c r="B745" s="73"/>
    </row>
    <row r="746" spans="1:2" x14ac:dyDescent="0.25">
      <c r="A746" s="73"/>
      <c r="B746" s="73"/>
    </row>
    <row r="747" spans="1:2" x14ac:dyDescent="0.25">
      <c r="A747" s="73"/>
      <c r="B747" s="73"/>
    </row>
    <row r="748" spans="1:2" x14ac:dyDescent="0.25">
      <c r="A748" s="73"/>
      <c r="B748" s="73"/>
    </row>
    <row r="749" spans="1:2" x14ac:dyDescent="0.25">
      <c r="A749" s="73"/>
      <c r="B749" s="73"/>
    </row>
    <row r="750" spans="1:2" x14ac:dyDescent="0.25">
      <c r="A750" s="73"/>
      <c r="B750" s="73"/>
    </row>
    <row r="751" spans="1:2" x14ac:dyDescent="0.25">
      <c r="A751" s="73"/>
      <c r="B751" s="73"/>
    </row>
    <row r="752" spans="1:2" x14ac:dyDescent="0.25">
      <c r="A752" s="73"/>
      <c r="B752" s="73"/>
    </row>
    <row r="753" spans="1:2" x14ac:dyDescent="0.25">
      <c r="A753" s="73"/>
      <c r="B753" s="73"/>
    </row>
    <row r="754" spans="1:2" x14ac:dyDescent="0.25">
      <c r="A754" s="73"/>
      <c r="B754" s="73"/>
    </row>
    <row r="755" spans="1:2" x14ac:dyDescent="0.25">
      <c r="A755" s="73"/>
      <c r="B755" s="73"/>
    </row>
    <row r="756" spans="1:2" x14ac:dyDescent="0.25">
      <c r="A756" s="73"/>
      <c r="B756" s="73"/>
    </row>
    <row r="757" spans="1:2" x14ac:dyDescent="0.25">
      <c r="A757" s="73"/>
      <c r="B757" s="73"/>
    </row>
    <row r="758" spans="1:2" x14ac:dyDescent="0.25">
      <c r="A758" s="73"/>
      <c r="B758" s="73"/>
    </row>
    <row r="759" spans="1:2" x14ac:dyDescent="0.25">
      <c r="A759" s="73"/>
      <c r="B759" s="73"/>
    </row>
    <row r="760" spans="1:2" x14ac:dyDescent="0.25">
      <c r="A760" s="73"/>
      <c r="B760" s="73"/>
    </row>
    <row r="761" spans="1:2" x14ac:dyDescent="0.25">
      <c r="A761" s="73"/>
      <c r="B761" s="73"/>
    </row>
    <row r="762" spans="1:2" x14ac:dyDescent="0.25">
      <c r="A762" s="73"/>
      <c r="B762" s="73"/>
    </row>
    <row r="763" spans="1:2" x14ac:dyDescent="0.25">
      <c r="A763" s="73"/>
      <c r="B763" s="73"/>
    </row>
    <row r="764" spans="1:2" x14ac:dyDescent="0.25">
      <c r="A764" s="73"/>
      <c r="B764" s="73"/>
    </row>
    <row r="765" spans="1:2" x14ac:dyDescent="0.25">
      <c r="A765" s="73"/>
      <c r="B765" s="73"/>
    </row>
    <row r="766" spans="1:2" x14ac:dyDescent="0.25">
      <c r="A766" s="73"/>
      <c r="B766" s="73"/>
    </row>
    <row r="767" spans="1:2" x14ac:dyDescent="0.25">
      <c r="A767" s="73"/>
      <c r="B767" s="73"/>
    </row>
    <row r="768" spans="1:2" x14ac:dyDescent="0.25">
      <c r="A768" s="73"/>
      <c r="B768" s="73"/>
    </row>
    <row r="769" spans="1:2" x14ac:dyDescent="0.25">
      <c r="A769" s="73"/>
      <c r="B769" s="73"/>
    </row>
    <row r="770" spans="1:2" x14ac:dyDescent="0.25">
      <c r="A770" s="73"/>
      <c r="B770" s="73"/>
    </row>
    <row r="771" spans="1:2" x14ac:dyDescent="0.25">
      <c r="A771" s="73"/>
      <c r="B771" s="73"/>
    </row>
    <row r="772" spans="1:2" x14ac:dyDescent="0.25">
      <c r="A772" s="73"/>
      <c r="B772" s="73"/>
    </row>
    <row r="773" spans="1:2" x14ac:dyDescent="0.25">
      <c r="A773" s="73"/>
      <c r="B773" s="73"/>
    </row>
    <row r="774" spans="1:2" x14ac:dyDescent="0.25">
      <c r="A774" s="73"/>
      <c r="B774" s="73"/>
    </row>
    <row r="775" spans="1:2" x14ac:dyDescent="0.25">
      <c r="A775" s="73"/>
      <c r="B775" s="73"/>
    </row>
    <row r="776" spans="1:2" x14ac:dyDescent="0.25">
      <c r="A776" s="73"/>
      <c r="B776" s="73"/>
    </row>
    <row r="777" spans="1:2" x14ac:dyDescent="0.25">
      <c r="A777" s="73"/>
      <c r="B777" s="73"/>
    </row>
    <row r="778" spans="1:2" x14ac:dyDescent="0.25">
      <c r="A778" s="73"/>
      <c r="B778" s="73"/>
    </row>
    <row r="779" spans="1:2" x14ac:dyDescent="0.25">
      <c r="A779" s="73"/>
      <c r="B779" s="73"/>
    </row>
    <row r="780" spans="1:2" x14ac:dyDescent="0.25">
      <c r="A780" s="73"/>
      <c r="B780" s="73"/>
    </row>
    <row r="781" spans="1:2" x14ac:dyDescent="0.25">
      <c r="A781" s="73"/>
      <c r="B781" s="73"/>
    </row>
    <row r="782" spans="1:2" x14ac:dyDescent="0.25">
      <c r="A782" s="73"/>
      <c r="B782" s="73"/>
    </row>
    <row r="783" spans="1:2" x14ac:dyDescent="0.25">
      <c r="A783" s="73"/>
      <c r="B783" s="73"/>
    </row>
    <row r="784" spans="1:2" x14ac:dyDescent="0.25">
      <c r="A784" s="73"/>
      <c r="B784" s="73"/>
    </row>
    <row r="785" spans="1:2" x14ac:dyDescent="0.25">
      <c r="A785" s="73"/>
      <c r="B785" s="73"/>
    </row>
    <row r="786" spans="1:2" x14ac:dyDescent="0.25">
      <c r="A786" s="73"/>
      <c r="B786" s="73"/>
    </row>
    <row r="787" spans="1:2" x14ac:dyDescent="0.25">
      <c r="A787" s="73"/>
      <c r="B787" s="73"/>
    </row>
    <row r="788" spans="1:2" x14ac:dyDescent="0.25">
      <c r="A788" s="73"/>
      <c r="B788" s="73"/>
    </row>
    <row r="789" spans="1:2" x14ac:dyDescent="0.25">
      <c r="A789" s="73"/>
      <c r="B789" s="73"/>
    </row>
    <row r="790" spans="1:2" x14ac:dyDescent="0.25">
      <c r="A790" s="73"/>
      <c r="B790" s="73"/>
    </row>
    <row r="791" spans="1:2" x14ac:dyDescent="0.25">
      <c r="A791" s="73"/>
      <c r="B791" s="73"/>
    </row>
    <row r="792" spans="1:2" x14ac:dyDescent="0.25">
      <c r="A792" s="73"/>
      <c r="B792" s="73"/>
    </row>
    <row r="793" spans="1:2" x14ac:dyDescent="0.25">
      <c r="A793" s="73"/>
      <c r="B793" s="73"/>
    </row>
    <row r="794" spans="1:2" x14ac:dyDescent="0.25">
      <c r="A794" s="73"/>
      <c r="B794" s="73"/>
    </row>
    <row r="795" spans="1:2" x14ac:dyDescent="0.25">
      <c r="A795" s="73"/>
      <c r="B795" s="73"/>
    </row>
    <row r="796" spans="1:2" x14ac:dyDescent="0.25">
      <c r="A796" s="73"/>
      <c r="B796" s="73"/>
    </row>
    <row r="797" spans="1:2" x14ac:dyDescent="0.25">
      <c r="A797" s="73"/>
      <c r="B797" s="73"/>
    </row>
    <row r="798" spans="1:2" x14ac:dyDescent="0.25">
      <c r="A798" s="73"/>
      <c r="B798" s="73"/>
    </row>
    <row r="799" spans="1:2" x14ac:dyDescent="0.25">
      <c r="A799" s="73"/>
      <c r="B799" s="73"/>
    </row>
    <row r="800" spans="1:2" x14ac:dyDescent="0.25">
      <c r="A800" s="73"/>
      <c r="B800" s="73"/>
    </row>
    <row r="801" spans="1:2" x14ac:dyDescent="0.25">
      <c r="A801" s="73"/>
      <c r="B801" s="73"/>
    </row>
    <row r="802" spans="1:2" x14ac:dyDescent="0.25">
      <c r="A802" s="73"/>
      <c r="B802" s="73"/>
    </row>
    <row r="803" spans="1:2" x14ac:dyDescent="0.25">
      <c r="A803" s="73"/>
      <c r="B803" s="73"/>
    </row>
    <row r="804" spans="1:2" x14ac:dyDescent="0.25">
      <c r="A804" s="73"/>
      <c r="B804" s="73"/>
    </row>
    <row r="805" spans="1:2" x14ac:dyDescent="0.25">
      <c r="A805" s="73"/>
      <c r="B805" s="73"/>
    </row>
    <row r="806" spans="1:2" x14ac:dyDescent="0.25">
      <c r="A806" s="73"/>
      <c r="B806" s="73"/>
    </row>
    <row r="807" spans="1:2" x14ac:dyDescent="0.25">
      <c r="A807" s="73"/>
      <c r="B807" s="73"/>
    </row>
    <row r="808" spans="1:2" x14ac:dyDescent="0.25">
      <c r="A808" s="73"/>
      <c r="B808" s="73"/>
    </row>
    <row r="809" spans="1:2" x14ac:dyDescent="0.25">
      <c r="A809" s="73"/>
      <c r="B809" s="73"/>
    </row>
    <row r="810" spans="1:2" x14ac:dyDescent="0.25">
      <c r="A810" s="73"/>
      <c r="B810" s="73"/>
    </row>
    <row r="811" spans="1:2" x14ac:dyDescent="0.25">
      <c r="A811" s="73"/>
      <c r="B811" s="73"/>
    </row>
    <row r="812" spans="1:2" x14ac:dyDescent="0.25">
      <c r="A812" s="73"/>
      <c r="B812" s="73"/>
    </row>
    <row r="813" spans="1:2" x14ac:dyDescent="0.25">
      <c r="A813" s="73"/>
      <c r="B813" s="73"/>
    </row>
    <row r="814" spans="1:2" x14ac:dyDescent="0.25">
      <c r="A814" s="73"/>
      <c r="B814" s="73"/>
    </row>
    <row r="815" spans="1:2" x14ac:dyDescent="0.25">
      <c r="A815" s="73"/>
      <c r="B815" s="73"/>
    </row>
    <row r="816" spans="1:2" x14ac:dyDescent="0.25">
      <c r="A816" s="73"/>
      <c r="B816" s="73"/>
    </row>
    <row r="817" spans="1:2" x14ac:dyDescent="0.25">
      <c r="A817" s="73"/>
      <c r="B817" s="73"/>
    </row>
    <row r="818" spans="1:2" x14ac:dyDescent="0.25">
      <c r="A818" s="73"/>
      <c r="B818" s="73"/>
    </row>
    <row r="819" spans="1:2" x14ac:dyDescent="0.25">
      <c r="A819" s="73"/>
      <c r="B819" s="73"/>
    </row>
    <row r="820" spans="1:2" x14ac:dyDescent="0.25">
      <c r="A820" s="73"/>
      <c r="B820" s="73"/>
    </row>
    <row r="821" spans="1:2" x14ac:dyDescent="0.25">
      <c r="A821" s="73"/>
      <c r="B821" s="73"/>
    </row>
    <row r="822" spans="1:2" x14ac:dyDescent="0.25">
      <c r="A822" s="73"/>
      <c r="B822" s="73"/>
    </row>
    <row r="823" spans="1:2" x14ac:dyDescent="0.25">
      <c r="A823" s="73"/>
      <c r="B823" s="73"/>
    </row>
    <row r="824" spans="1:2" x14ac:dyDescent="0.25">
      <c r="A824" s="73"/>
      <c r="B824" s="73"/>
    </row>
    <row r="825" spans="1:2" x14ac:dyDescent="0.25">
      <c r="A825" s="73"/>
      <c r="B825" s="73"/>
    </row>
    <row r="826" spans="1:2" x14ac:dyDescent="0.25">
      <c r="A826" s="73"/>
      <c r="B826" s="73"/>
    </row>
    <row r="827" spans="1:2" x14ac:dyDescent="0.25">
      <c r="A827" s="73"/>
      <c r="B827" s="73"/>
    </row>
    <row r="828" spans="1:2" x14ac:dyDescent="0.25">
      <c r="A828" s="73"/>
      <c r="B828" s="73"/>
    </row>
    <row r="829" spans="1:2" x14ac:dyDescent="0.25">
      <c r="A829" s="73"/>
      <c r="B829" s="73"/>
    </row>
    <row r="830" spans="1:2" x14ac:dyDescent="0.25">
      <c r="A830" s="73"/>
      <c r="B830" s="73"/>
    </row>
    <row r="831" spans="1:2" x14ac:dyDescent="0.25">
      <c r="A831" s="73"/>
      <c r="B831" s="73"/>
    </row>
    <row r="832" spans="1:2" x14ac:dyDescent="0.25">
      <c r="A832" s="73"/>
      <c r="B832" s="73"/>
    </row>
    <row r="833" spans="1:2" x14ac:dyDescent="0.25">
      <c r="A833" s="73"/>
      <c r="B833" s="73"/>
    </row>
    <row r="834" spans="1:2" x14ac:dyDescent="0.25">
      <c r="A834" s="73"/>
      <c r="B834" s="73"/>
    </row>
    <row r="835" spans="1:2" x14ac:dyDescent="0.25">
      <c r="A835" s="73"/>
      <c r="B835" s="73"/>
    </row>
    <row r="836" spans="1:2" x14ac:dyDescent="0.25">
      <c r="A836" s="73"/>
      <c r="B836" s="73"/>
    </row>
    <row r="837" spans="1:2" x14ac:dyDescent="0.25">
      <c r="A837" s="73"/>
      <c r="B837" s="73"/>
    </row>
    <row r="838" spans="1:2" x14ac:dyDescent="0.25">
      <c r="A838" s="73"/>
      <c r="B838" s="73"/>
    </row>
    <row r="839" spans="1:2" x14ac:dyDescent="0.25">
      <c r="A839" s="73"/>
      <c r="B839" s="73"/>
    </row>
    <row r="840" spans="1:2" x14ac:dyDescent="0.25">
      <c r="A840" s="73"/>
      <c r="B840" s="73"/>
    </row>
    <row r="841" spans="1:2" x14ac:dyDescent="0.25">
      <c r="A841" s="73"/>
      <c r="B841" s="73"/>
    </row>
    <row r="842" spans="1:2" x14ac:dyDescent="0.25">
      <c r="A842" s="73"/>
      <c r="B842" s="73"/>
    </row>
    <row r="843" spans="1:2" x14ac:dyDescent="0.25">
      <c r="A843" s="73"/>
      <c r="B843" s="73"/>
    </row>
    <row r="844" spans="1:2" x14ac:dyDescent="0.25">
      <c r="A844" s="73"/>
      <c r="B844" s="73"/>
    </row>
    <row r="845" spans="1:2" x14ac:dyDescent="0.25">
      <c r="A845" s="73"/>
      <c r="B845" s="73"/>
    </row>
    <row r="846" spans="1:2" x14ac:dyDescent="0.25">
      <c r="A846" s="73"/>
      <c r="B846" s="73"/>
    </row>
    <row r="847" spans="1:2" x14ac:dyDescent="0.25">
      <c r="A847" s="73"/>
      <c r="B847" s="73"/>
    </row>
    <row r="848" spans="1:2" x14ac:dyDescent="0.25">
      <c r="A848" s="73"/>
      <c r="B848" s="73"/>
    </row>
    <row r="849" spans="1:2" x14ac:dyDescent="0.25">
      <c r="A849" s="73"/>
      <c r="B849" s="73"/>
    </row>
    <row r="850" spans="1:2" x14ac:dyDescent="0.25">
      <c r="A850" s="73"/>
      <c r="B850" s="73"/>
    </row>
    <row r="851" spans="1:2" x14ac:dyDescent="0.25">
      <c r="A851" s="73"/>
      <c r="B851" s="73"/>
    </row>
    <row r="852" spans="1:2" x14ac:dyDescent="0.25">
      <c r="A852" s="73"/>
      <c r="B852" s="73"/>
    </row>
    <row r="853" spans="1:2" x14ac:dyDescent="0.25">
      <c r="A853" s="73"/>
      <c r="B853" s="73"/>
    </row>
    <row r="854" spans="1:2" x14ac:dyDescent="0.25">
      <c r="A854" s="73"/>
      <c r="B854" s="73"/>
    </row>
    <row r="855" spans="1:2" x14ac:dyDescent="0.25">
      <c r="A855" s="73"/>
      <c r="B855" s="73"/>
    </row>
    <row r="856" spans="1:2" x14ac:dyDescent="0.25">
      <c r="A856" s="73"/>
      <c r="B856" s="73"/>
    </row>
    <row r="857" spans="1:2" x14ac:dyDescent="0.25">
      <c r="A857" s="73"/>
      <c r="B857" s="73"/>
    </row>
    <row r="858" spans="1:2" x14ac:dyDescent="0.25">
      <c r="A858" s="73"/>
      <c r="B858" s="73"/>
    </row>
    <row r="859" spans="1:2" x14ac:dyDescent="0.25">
      <c r="A859" s="73"/>
      <c r="B859" s="73"/>
    </row>
    <row r="860" spans="1:2" x14ac:dyDescent="0.25">
      <c r="A860" s="73"/>
      <c r="B860" s="73"/>
    </row>
    <row r="861" spans="1:2" x14ac:dyDescent="0.25">
      <c r="A861" s="73"/>
      <c r="B861" s="73"/>
    </row>
    <row r="862" spans="1:2" x14ac:dyDescent="0.25">
      <c r="A862" s="73"/>
      <c r="B862" s="73"/>
    </row>
    <row r="863" spans="1:2" x14ac:dyDescent="0.25">
      <c r="A863" s="73"/>
      <c r="B863" s="73"/>
    </row>
    <row r="864" spans="1:2" x14ac:dyDescent="0.25">
      <c r="A864" s="73"/>
      <c r="B864" s="73"/>
    </row>
    <row r="865" spans="1:2" x14ac:dyDescent="0.25">
      <c r="A865" s="73"/>
      <c r="B865" s="73"/>
    </row>
    <row r="866" spans="1:2" x14ac:dyDescent="0.25">
      <c r="A866" s="73"/>
      <c r="B866" s="73"/>
    </row>
    <row r="867" spans="1:2" x14ac:dyDescent="0.25">
      <c r="A867" s="73"/>
      <c r="B867" s="73"/>
    </row>
    <row r="868" spans="1:2" x14ac:dyDescent="0.25">
      <c r="A868" s="73"/>
      <c r="B868" s="73"/>
    </row>
    <row r="869" spans="1:2" x14ac:dyDescent="0.25">
      <c r="A869" s="73"/>
      <c r="B869" s="73"/>
    </row>
    <row r="870" spans="1:2" x14ac:dyDescent="0.25">
      <c r="A870" s="73"/>
      <c r="B870" s="73"/>
    </row>
    <row r="871" spans="1:2" x14ac:dyDescent="0.25">
      <c r="A871" s="73"/>
      <c r="B871" s="73"/>
    </row>
    <row r="872" spans="1:2" x14ac:dyDescent="0.25">
      <c r="A872" s="73"/>
      <c r="B872" s="73"/>
    </row>
    <row r="873" spans="1:2" x14ac:dyDescent="0.25">
      <c r="A873" s="73"/>
      <c r="B873" s="73"/>
    </row>
    <row r="874" spans="1:2" x14ac:dyDescent="0.25">
      <c r="A874" s="73"/>
      <c r="B874" s="73"/>
    </row>
    <row r="875" spans="1:2" x14ac:dyDescent="0.25">
      <c r="A875" s="73"/>
      <c r="B875" s="73"/>
    </row>
    <row r="876" spans="1:2" x14ac:dyDescent="0.25">
      <c r="A876" s="73"/>
      <c r="B876" s="73"/>
    </row>
    <row r="877" spans="1:2" x14ac:dyDescent="0.25">
      <c r="A877" s="73"/>
      <c r="B877" s="73"/>
    </row>
    <row r="878" spans="1:2" x14ac:dyDescent="0.25">
      <c r="A878" s="73"/>
      <c r="B878" s="73"/>
    </row>
    <row r="879" spans="1:2" x14ac:dyDescent="0.25">
      <c r="A879" s="73"/>
      <c r="B879" s="73"/>
    </row>
    <row r="880" spans="1:2" x14ac:dyDescent="0.25">
      <c r="A880" s="73"/>
      <c r="B880" s="73"/>
    </row>
    <row r="881" spans="1:2" x14ac:dyDescent="0.25">
      <c r="A881" s="73"/>
      <c r="B881" s="73"/>
    </row>
    <row r="882" spans="1:2" x14ac:dyDescent="0.25">
      <c r="A882" s="73"/>
      <c r="B882" s="73"/>
    </row>
    <row r="883" spans="1:2" x14ac:dyDescent="0.25">
      <c r="A883" s="73"/>
      <c r="B883" s="73"/>
    </row>
    <row r="884" spans="1:2" x14ac:dyDescent="0.25">
      <c r="A884" s="73"/>
      <c r="B884" s="73"/>
    </row>
    <row r="885" spans="1:2" x14ac:dyDescent="0.25">
      <c r="A885" s="73"/>
      <c r="B885" s="73"/>
    </row>
    <row r="886" spans="1:2" x14ac:dyDescent="0.25">
      <c r="A886" s="73"/>
      <c r="B886" s="73"/>
    </row>
    <row r="887" spans="1:2" x14ac:dyDescent="0.25">
      <c r="A887" s="73"/>
      <c r="B887" s="73"/>
    </row>
    <row r="888" spans="1:2" x14ac:dyDescent="0.25">
      <c r="A888" s="73"/>
      <c r="B888" s="73"/>
    </row>
    <row r="889" spans="1:2" x14ac:dyDescent="0.25">
      <c r="A889" s="73"/>
      <c r="B889" s="73"/>
    </row>
    <row r="890" spans="1:2" x14ac:dyDescent="0.25">
      <c r="A890" s="73"/>
      <c r="B890" s="73"/>
    </row>
    <row r="891" spans="1:2" x14ac:dyDescent="0.25">
      <c r="A891" s="73"/>
      <c r="B891" s="73"/>
    </row>
    <row r="892" spans="1:2" x14ac:dyDescent="0.25">
      <c r="A892" s="73"/>
      <c r="B892" s="73"/>
    </row>
    <row r="893" spans="1:2" x14ac:dyDescent="0.25">
      <c r="A893" s="73"/>
      <c r="B893" s="73"/>
    </row>
    <row r="894" spans="1:2" x14ac:dyDescent="0.25">
      <c r="A894" s="73"/>
      <c r="B894" s="73"/>
    </row>
    <row r="895" spans="1:2" x14ac:dyDescent="0.25">
      <c r="A895" s="73"/>
      <c r="B895" s="73"/>
    </row>
    <row r="896" spans="1:2" x14ac:dyDescent="0.25">
      <c r="A896" s="73"/>
      <c r="B896" s="73"/>
    </row>
    <row r="897" spans="1:2" x14ac:dyDescent="0.25">
      <c r="A897" s="73"/>
      <c r="B897" s="73"/>
    </row>
    <row r="898" spans="1:2" x14ac:dyDescent="0.25">
      <c r="A898" s="73"/>
      <c r="B898" s="73"/>
    </row>
    <row r="899" spans="1:2" x14ac:dyDescent="0.25">
      <c r="A899" s="73"/>
      <c r="B899" s="73"/>
    </row>
    <row r="900" spans="1:2" x14ac:dyDescent="0.25">
      <c r="A900" s="73"/>
      <c r="B900" s="73"/>
    </row>
    <row r="901" spans="1:2" x14ac:dyDescent="0.25">
      <c r="A901" s="73"/>
      <c r="B901" s="73"/>
    </row>
    <row r="902" spans="1:2" x14ac:dyDescent="0.25">
      <c r="A902" s="73"/>
      <c r="B902" s="73"/>
    </row>
    <row r="903" spans="1:2" x14ac:dyDescent="0.25">
      <c r="A903" s="73"/>
      <c r="B903" s="73"/>
    </row>
    <row r="904" spans="1:2" x14ac:dyDescent="0.25">
      <c r="A904" s="73"/>
      <c r="B904" s="73"/>
    </row>
    <row r="905" spans="1:2" x14ac:dyDescent="0.25">
      <c r="A905" s="73"/>
      <c r="B905" s="73"/>
    </row>
    <row r="906" spans="1:2" x14ac:dyDescent="0.25">
      <c r="A906" s="73"/>
      <c r="B906" s="73"/>
    </row>
    <row r="907" spans="1:2" x14ac:dyDescent="0.25">
      <c r="A907" s="73"/>
      <c r="B907" s="73"/>
    </row>
    <row r="908" spans="1:2" x14ac:dyDescent="0.25">
      <c r="A908" s="73"/>
      <c r="B908" s="73"/>
    </row>
    <row r="909" spans="1:2" x14ac:dyDescent="0.25">
      <c r="A909" s="73"/>
      <c r="B909" s="73"/>
    </row>
    <row r="910" spans="1:2" x14ac:dyDescent="0.25">
      <c r="A910" s="73"/>
      <c r="B910" s="73"/>
    </row>
    <row r="911" spans="1:2" x14ac:dyDescent="0.25">
      <c r="A911" s="73"/>
      <c r="B911" s="73"/>
    </row>
    <row r="912" spans="1:2" x14ac:dyDescent="0.25">
      <c r="A912" s="73"/>
      <c r="B912" s="73"/>
    </row>
    <row r="913" spans="1:2" x14ac:dyDescent="0.25">
      <c r="A913" s="73"/>
      <c r="B913" s="73"/>
    </row>
    <row r="914" spans="1:2" x14ac:dyDescent="0.25">
      <c r="A914" s="73"/>
      <c r="B914" s="73"/>
    </row>
    <row r="915" spans="1:2" x14ac:dyDescent="0.25">
      <c r="A915" s="73"/>
      <c r="B915" s="73"/>
    </row>
    <row r="916" spans="1:2" x14ac:dyDescent="0.25">
      <c r="A916" s="73"/>
      <c r="B916" s="73"/>
    </row>
    <row r="917" spans="1:2" x14ac:dyDescent="0.25">
      <c r="A917" s="73"/>
      <c r="B917" s="73"/>
    </row>
    <row r="918" spans="1:2" x14ac:dyDescent="0.25">
      <c r="A918" s="73"/>
      <c r="B918" s="73"/>
    </row>
    <row r="919" spans="1:2" x14ac:dyDescent="0.25">
      <c r="A919" s="73"/>
      <c r="B919" s="73"/>
    </row>
    <row r="920" spans="1:2" x14ac:dyDescent="0.25">
      <c r="A920" s="73"/>
      <c r="B920" s="73"/>
    </row>
    <row r="921" spans="1:2" x14ac:dyDescent="0.25">
      <c r="A921" s="73"/>
      <c r="B921" s="73"/>
    </row>
    <row r="922" spans="1:2" x14ac:dyDescent="0.25">
      <c r="A922" s="73"/>
      <c r="B922" s="73"/>
    </row>
    <row r="923" spans="1:2" x14ac:dyDescent="0.25">
      <c r="A923" s="73"/>
      <c r="B923" s="73"/>
    </row>
    <row r="924" spans="1:2" x14ac:dyDescent="0.25">
      <c r="A924" s="73"/>
      <c r="B924" s="73"/>
    </row>
    <row r="925" spans="1:2" x14ac:dyDescent="0.25">
      <c r="A925" s="73"/>
      <c r="B925" s="73"/>
    </row>
    <row r="926" spans="1:2" x14ac:dyDescent="0.25">
      <c r="A926" s="73"/>
      <c r="B926" s="73"/>
    </row>
    <row r="927" spans="1:2" x14ac:dyDescent="0.25">
      <c r="A927" s="73"/>
      <c r="B927" s="73"/>
    </row>
    <row r="928" spans="1:2" x14ac:dyDescent="0.25">
      <c r="A928" s="73"/>
      <c r="B928" s="73"/>
    </row>
    <row r="929" spans="1:2" x14ac:dyDescent="0.25">
      <c r="A929" s="73"/>
      <c r="B929" s="73"/>
    </row>
    <row r="930" spans="1:2" x14ac:dyDescent="0.25">
      <c r="A930" s="73"/>
      <c r="B930" s="73"/>
    </row>
    <row r="931" spans="1:2" x14ac:dyDescent="0.25">
      <c r="A931" s="73"/>
      <c r="B931" s="73"/>
    </row>
    <row r="932" spans="1:2" x14ac:dyDescent="0.25">
      <c r="A932" s="73"/>
      <c r="B932" s="73"/>
    </row>
    <row r="933" spans="1:2" x14ac:dyDescent="0.25">
      <c r="A933" s="73"/>
      <c r="B933" s="73"/>
    </row>
    <row r="934" spans="1:2" x14ac:dyDescent="0.25">
      <c r="A934" s="73"/>
      <c r="B934" s="73"/>
    </row>
    <row r="935" spans="1:2" x14ac:dyDescent="0.25">
      <c r="A935" s="73"/>
      <c r="B935" s="73"/>
    </row>
    <row r="936" spans="1:2" x14ac:dyDescent="0.25">
      <c r="A936" s="73"/>
      <c r="B936" s="73"/>
    </row>
    <row r="937" spans="1:2" x14ac:dyDescent="0.25">
      <c r="A937" s="73"/>
      <c r="B937" s="73"/>
    </row>
    <row r="938" spans="1:2" x14ac:dyDescent="0.25">
      <c r="A938" s="73"/>
      <c r="B938" s="73"/>
    </row>
    <row r="939" spans="1:2" x14ac:dyDescent="0.25">
      <c r="A939" s="73"/>
      <c r="B939" s="73"/>
    </row>
    <row r="940" spans="1:2" x14ac:dyDescent="0.25">
      <c r="A940" s="73"/>
      <c r="B940" s="73"/>
    </row>
    <row r="941" spans="1:2" x14ac:dyDescent="0.25">
      <c r="A941" s="73"/>
      <c r="B941" s="73"/>
    </row>
    <row r="942" spans="1:2" x14ac:dyDescent="0.25">
      <c r="A942" s="73"/>
      <c r="B942" s="73"/>
    </row>
    <row r="943" spans="1:2" x14ac:dyDescent="0.25">
      <c r="A943" s="73"/>
      <c r="B943" s="73"/>
    </row>
    <row r="944" spans="1:2" x14ac:dyDescent="0.25">
      <c r="A944" s="73"/>
      <c r="B944" s="73"/>
    </row>
    <row r="945" spans="1:2" x14ac:dyDescent="0.25">
      <c r="A945" s="73"/>
      <c r="B945" s="73"/>
    </row>
    <row r="946" spans="1:2" x14ac:dyDescent="0.25">
      <c r="A946" s="73"/>
      <c r="B946" s="73"/>
    </row>
    <row r="947" spans="1:2" x14ac:dyDescent="0.25">
      <c r="A947" s="73"/>
      <c r="B947" s="73"/>
    </row>
    <row r="948" spans="1:2" x14ac:dyDescent="0.25">
      <c r="A948" s="73"/>
      <c r="B948" s="73"/>
    </row>
    <row r="949" spans="1:2" x14ac:dyDescent="0.25">
      <c r="A949" s="73"/>
      <c r="B949" s="73"/>
    </row>
    <row r="950" spans="1:2" x14ac:dyDescent="0.25">
      <c r="A950" s="73"/>
      <c r="B950" s="73"/>
    </row>
    <row r="951" spans="1:2" x14ac:dyDescent="0.25">
      <c r="A951" s="73"/>
      <c r="B951" s="73"/>
    </row>
    <row r="952" spans="1:2" x14ac:dyDescent="0.25">
      <c r="A952" s="73"/>
      <c r="B952" s="73"/>
    </row>
    <row r="953" spans="1:2" x14ac:dyDescent="0.25">
      <c r="A953" s="73"/>
      <c r="B953" s="73"/>
    </row>
    <row r="954" spans="1:2" x14ac:dyDescent="0.25">
      <c r="A954" s="73"/>
      <c r="B954" s="73"/>
    </row>
    <row r="955" spans="1:2" x14ac:dyDescent="0.25">
      <c r="A955" s="73"/>
      <c r="B955" s="73"/>
    </row>
    <row r="956" spans="1:2" x14ac:dyDescent="0.25">
      <c r="A956" s="73"/>
      <c r="B956" s="73"/>
    </row>
    <row r="957" spans="1:2" x14ac:dyDescent="0.25">
      <c r="A957" s="73"/>
      <c r="B957" s="73"/>
    </row>
    <row r="958" spans="1:2" x14ac:dyDescent="0.25">
      <c r="A958" s="73"/>
      <c r="B958" s="73"/>
    </row>
    <row r="959" spans="1:2" x14ac:dyDescent="0.25">
      <c r="A959" s="73"/>
      <c r="B959" s="73"/>
    </row>
    <row r="960" spans="1:2" x14ac:dyDescent="0.25">
      <c r="A960" s="73"/>
      <c r="B960" s="73"/>
    </row>
    <row r="961" spans="1:2" x14ac:dyDescent="0.25">
      <c r="A961" s="73"/>
      <c r="B961" s="73"/>
    </row>
    <row r="962" spans="1:2" x14ac:dyDescent="0.25">
      <c r="A962" s="73"/>
      <c r="B962" s="73"/>
    </row>
    <row r="963" spans="1:2" x14ac:dyDescent="0.25">
      <c r="A963" s="73"/>
      <c r="B963" s="73"/>
    </row>
    <row r="964" spans="1:2" x14ac:dyDescent="0.25">
      <c r="A964" s="73"/>
      <c r="B964" s="73"/>
    </row>
    <row r="965" spans="1:2" x14ac:dyDescent="0.25">
      <c r="A965" s="73"/>
      <c r="B965" s="73"/>
    </row>
    <row r="966" spans="1:2" x14ac:dyDescent="0.25">
      <c r="A966" s="73"/>
      <c r="B966" s="73"/>
    </row>
    <row r="967" spans="1:2" x14ac:dyDescent="0.25">
      <c r="A967" s="73"/>
      <c r="B967" s="73"/>
    </row>
    <row r="968" spans="1:2" x14ac:dyDescent="0.25">
      <c r="A968" s="73"/>
      <c r="B968" s="73"/>
    </row>
    <row r="969" spans="1:2" x14ac:dyDescent="0.25">
      <c r="A969" s="73"/>
      <c r="B969" s="73"/>
    </row>
    <row r="970" spans="1:2" x14ac:dyDescent="0.25">
      <c r="A970" s="73"/>
      <c r="B970" s="73"/>
    </row>
    <row r="971" spans="1:2" x14ac:dyDescent="0.25">
      <c r="A971" s="73"/>
      <c r="B971" s="73"/>
    </row>
    <row r="972" spans="1:2" x14ac:dyDescent="0.25">
      <c r="A972" s="73"/>
      <c r="B972" s="73"/>
    </row>
    <row r="973" spans="1:2" x14ac:dyDescent="0.25">
      <c r="A973" s="73"/>
      <c r="B973" s="73"/>
    </row>
    <row r="974" spans="1:2" x14ac:dyDescent="0.25">
      <c r="A974" s="73"/>
      <c r="B974" s="73"/>
    </row>
    <row r="975" spans="1:2" x14ac:dyDescent="0.25">
      <c r="A975" s="73"/>
      <c r="B975" s="73"/>
    </row>
    <row r="976" spans="1:2" x14ac:dyDescent="0.25">
      <c r="A976" s="73"/>
      <c r="B976" s="73"/>
    </row>
    <row r="977" spans="1:2" x14ac:dyDescent="0.25">
      <c r="A977" s="73"/>
      <c r="B977" s="73"/>
    </row>
    <row r="978" spans="1:2" x14ac:dyDescent="0.25">
      <c r="A978" s="73"/>
      <c r="B978" s="73"/>
    </row>
    <row r="979" spans="1:2" x14ac:dyDescent="0.25">
      <c r="A979" s="73"/>
      <c r="B979" s="73"/>
    </row>
    <row r="980" spans="1:2" x14ac:dyDescent="0.25">
      <c r="A980" s="73"/>
      <c r="B980" s="73"/>
    </row>
    <row r="981" spans="1:2" x14ac:dyDescent="0.25">
      <c r="A981" s="73"/>
      <c r="B981" s="73"/>
    </row>
    <row r="982" spans="1:2" x14ac:dyDescent="0.25">
      <c r="A982" s="73"/>
      <c r="B982" s="73"/>
    </row>
    <row r="983" spans="1:2" x14ac:dyDescent="0.25">
      <c r="A983" s="73"/>
      <c r="B983" s="73"/>
    </row>
    <row r="984" spans="1:2" x14ac:dyDescent="0.25">
      <c r="A984" s="73"/>
      <c r="B984" s="73"/>
    </row>
    <row r="985" spans="1:2" x14ac:dyDescent="0.25">
      <c r="A985" s="73"/>
      <c r="B985" s="73"/>
    </row>
    <row r="986" spans="1:2" x14ac:dyDescent="0.25">
      <c r="A986" s="73"/>
      <c r="B986" s="73"/>
    </row>
    <row r="987" spans="1:2" x14ac:dyDescent="0.25">
      <c r="A987" s="73"/>
      <c r="B987" s="73"/>
    </row>
    <row r="988" spans="1:2" x14ac:dyDescent="0.25">
      <c r="A988" s="73"/>
      <c r="B988" s="73"/>
    </row>
    <row r="989" spans="1:2" x14ac:dyDescent="0.25">
      <c r="A989" s="73"/>
      <c r="B989" s="73"/>
    </row>
    <row r="990" spans="1:2" x14ac:dyDescent="0.25">
      <c r="A990" s="73"/>
      <c r="B990" s="73"/>
    </row>
    <row r="991" spans="1:2" x14ac:dyDescent="0.25">
      <c r="A991" s="73"/>
      <c r="B991" s="73"/>
    </row>
    <row r="992" spans="1:2" x14ac:dyDescent="0.25">
      <c r="A992" s="73"/>
      <c r="B992" s="73"/>
    </row>
    <row r="993" spans="1:2" x14ac:dyDescent="0.25">
      <c r="A993" s="73"/>
      <c r="B993" s="73"/>
    </row>
    <row r="994" spans="1:2" x14ac:dyDescent="0.25">
      <c r="A994" s="73"/>
      <c r="B994" s="73"/>
    </row>
    <row r="995" spans="1:2" x14ac:dyDescent="0.25">
      <c r="A995" s="73"/>
      <c r="B995" s="73"/>
    </row>
    <row r="996" spans="1:2" x14ac:dyDescent="0.25">
      <c r="A996" s="73"/>
      <c r="B996" s="73"/>
    </row>
    <row r="997" spans="1:2" x14ac:dyDescent="0.25">
      <c r="A997" s="73"/>
      <c r="B997" s="73"/>
    </row>
    <row r="998" spans="1:2" x14ac:dyDescent="0.25">
      <c r="A998" s="73"/>
      <c r="B998" s="73"/>
    </row>
    <row r="999" spans="1:2" x14ac:dyDescent="0.25">
      <c r="A999" s="73"/>
      <c r="B999" s="73"/>
    </row>
    <row r="1000" spans="1:2" x14ac:dyDescent="0.25">
      <c r="A1000" s="73"/>
      <c r="B1000" s="73"/>
    </row>
    <row r="1001" spans="1:2" x14ac:dyDescent="0.25">
      <c r="A1001" s="73"/>
      <c r="B1001" s="73"/>
    </row>
    <row r="1002" spans="1:2" x14ac:dyDescent="0.25">
      <c r="A1002" s="73"/>
      <c r="B1002" s="73"/>
    </row>
    <row r="1003" spans="1:2" x14ac:dyDescent="0.25">
      <c r="A1003" s="73"/>
      <c r="B1003" s="73"/>
    </row>
    <row r="1004" spans="1:2" x14ac:dyDescent="0.25">
      <c r="A1004" s="73"/>
      <c r="B1004" s="73"/>
    </row>
    <row r="1005" spans="1:2" x14ac:dyDescent="0.25">
      <c r="A1005" s="73"/>
      <c r="B1005" s="73"/>
    </row>
    <row r="1006" spans="1:2" x14ac:dyDescent="0.25">
      <c r="A1006" s="73"/>
      <c r="B1006" s="73"/>
    </row>
    <row r="1007" spans="1:2" x14ac:dyDescent="0.25">
      <c r="A1007" s="73"/>
      <c r="B1007" s="73"/>
    </row>
    <row r="1008" spans="1:2" x14ac:dyDescent="0.25">
      <c r="A1008" s="73"/>
      <c r="B1008" s="73"/>
    </row>
    <row r="1009" spans="1:2" x14ac:dyDescent="0.25">
      <c r="A1009" s="73"/>
      <c r="B1009" s="73"/>
    </row>
    <row r="1010" spans="1:2" x14ac:dyDescent="0.25">
      <c r="A1010" s="73"/>
      <c r="B1010" s="73"/>
    </row>
    <row r="1011" spans="1:2" x14ac:dyDescent="0.25">
      <c r="A1011" s="73"/>
      <c r="B1011" s="73"/>
    </row>
    <row r="1012" spans="1:2" x14ac:dyDescent="0.25">
      <c r="A1012" s="73"/>
      <c r="B1012" s="73"/>
    </row>
    <row r="1013" spans="1:2" x14ac:dyDescent="0.25">
      <c r="A1013" s="73"/>
      <c r="B1013" s="73"/>
    </row>
    <row r="1014" spans="1:2" x14ac:dyDescent="0.25">
      <c r="A1014" s="73"/>
      <c r="B1014" s="73"/>
    </row>
    <row r="1015" spans="1:2" x14ac:dyDescent="0.25">
      <c r="A1015" s="73"/>
      <c r="B1015" s="73"/>
    </row>
    <row r="1016" spans="1:2" x14ac:dyDescent="0.25">
      <c r="A1016" s="73"/>
      <c r="B1016" s="73"/>
    </row>
    <row r="1017" spans="1:2" x14ac:dyDescent="0.25">
      <c r="A1017" s="73"/>
      <c r="B1017" s="73"/>
    </row>
    <row r="1018" spans="1:2" x14ac:dyDescent="0.25">
      <c r="A1018" s="73"/>
      <c r="B1018" s="73"/>
    </row>
    <row r="1019" spans="1:2" x14ac:dyDescent="0.25">
      <c r="A1019" s="73"/>
      <c r="B1019" s="73"/>
    </row>
    <row r="1020" spans="1:2" x14ac:dyDescent="0.25">
      <c r="A1020" s="73"/>
      <c r="B1020" s="73"/>
    </row>
    <row r="1021" spans="1:2" x14ac:dyDescent="0.25">
      <c r="A1021" s="73"/>
      <c r="B1021" s="73"/>
    </row>
    <row r="1022" spans="1:2" x14ac:dyDescent="0.25">
      <c r="A1022" s="73"/>
      <c r="B1022" s="73"/>
    </row>
    <row r="1023" spans="1:2" x14ac:dyDescent="0.25">
      <c r="A1023" s="73"/>
      <c r="B1023" s="73"/>
    </row>
    <row r="1024" spans="1:2" x14ac:dyDescent="0.25">
      <c r="A1024" s="73"/>
      <c r="B1024" s="73"/>
    </row>
    <row r="1025" spans="1:2" x14ac:dyDescent="0.25">
      <c r="A1025" s="73"/>
      <c r="B1025" s="73"/>
    </row>
    <row r="1026" spans="1:2" x14ac:dyDescent="0.25">
      <c r="A1026" s="73"/>
      <c r="B1026" s="73"/>
    </row>
    <row r="1027" spans="1:2" x14ac:dyDescent="0.25">
      <c r="A1027" s="73"/>
      <c r="B1027" s="73"/>
    </row>
    <row r="1028" spans="1:2" x14ac:dyDescent="0.25">
      <c r="A1028" s="73"/>
      <c r="B1028" s="73"/>
    </row>
    <row r="1029" spans="1:2" x14ac:dyDescent="0.25">
      <c r="A1029" s="73"/>
      <c r="B1029" s="73"/>
    </row>
    <row r="1030" spans="1:2" x14ac:dyDescent="0.25">
      <c r="A1030" s="73"/>
      <c r="B1030" s="73"/>
    </row>
    <row r="1031" spans="1:2" x14ac:dyDescent="0.25">
      <c r="A1031" s="73"/>
      <c r="B1031" s="73"/>
    </row>
    <row r="1032" spans="1:2" x14ac:dyDescent="0.25">
      <c r="A1032" s="73"/>
      <c r="B1032" s="73"/>
    </row>
    <row r="1033" spans="1:2" x14ac:dyDescent="0.25">
      <c r="A1033" s="73"/>
      <c r="B1033" s="73"/>
    </row>
    <row r="1034" spans="1:2" x14ac:dyDescent="0.25">
      <c r="A1034" s="73"/>
      <c r="B1034" s="73"/>
    </row>
    <row r="1035" spans="1:2" x14ac:dyDescent="0.25">
      <c r="A1035" s="73"/>
      <c r="B1035" s="73"/>
    </row>
    <row r="1036" spans="1:2" x14ac:dyDescent="0.25">
      <c r="A1036" s="73"/>
      <c r="B1036" s="73"/>
    </row>
    <row r="1037" spans="1:2" x14ac:dyDescent="0.25">
      <c r="A1037" s="73"/>
      <c r="B1037" s="73"/>
    </row>
    <row r="1038" spans="1:2" x14ac:dyDescent="0.25">
      <c r="A1038" s="73"/>
      <c r="B1038" s="73"/>
    </row>
    <row r="1039" spans="1:2" x14ac:dyDescent="0.25">
      <c r="A1039" s="73"/>
      <c r="B1039" s="73"/>
    </row>
    <row r="1040" spans="1:2" x14ac:dyDescent="0.25">
      <c r="A1040" s="73"/>
      <c r="B1040" s="73"/>
    </row>
    <row r="1041" spans="1:2" x14ac:dyDescent="0.25">
      <c r="A1041" s="73"/>
      <c r="B1041" s="73"/>
    </row>
    <row r="1042" spans="1:2" x14ac:dyDescent="0.25">
      <c r="A1042" s="73"/>
      <c r="B1042" s="73"/>
    </row>
    <row r="1043" spans="1:2" x14ac:dyDescent="0.25">
      <c r="A1043" s="73"/>
      <c r="B1043" s="73"/>
    </row>
    <row r="1044" spans="1:2" x14ac:dyDescent="0.25">
      <c r="A1044" s="73"/>
      <c r="B1044" s="73"/>
    </row>
    <row r="1045" spans="1:2" x14ac:dyDescent="0.25">
      <c r="A1045" s="73"/>
      <c r="B1045" s="73"/>
    </row>
    <row r="1046" spans="1:2" x14ac:dyDescent="0.25">
      <c r="A1046" s="73"/>
      <c r="B1046" s="73"/>
    </row>
    <row r="1047" spans="1:2" x14ac:dyDescent="0.25">
      <c r="A1047" s="73"/>
      <c r="B1047" s="73"/>
    </row>
    <row r="1048" spans="1:2" x14ac:dyDescent="0.25">
      <c r="A1048" s="73"/>
      <c r="B1048" s="73"/>
    </row>
    <row r="1049" spans="1:2" x14ac:dyDescent="0.25">
      <c r="A1049" s="73"/>
      <c r="B1049" s="73"/>
    </row>
    <row r="1050" spans="1:2" x14ac:dyDescent="0.25">
      <c r="A1050" s="73"/>
      <c r="B1050" s="73"/>
    </row>
    <row r="1051" spans="1:2" x14ac:dyDescent="0.25">
      <c r="A1051" s="73"/>
      <c r="B1051" s="73"/>
    </row>
    <row r="1052" spans="1:2" x14ac:dyDescent="0.25">
      <c r="A1052" s="73"/>
      <c r="B1052" s="73"/>
    </row>
    <row r="1053" spans="1:2" x14ac:dyDescent="0.25">
      <c r="A1053" s="73"/>
      <c r="B1053" s="73"/>
    </row>
    <row r="1054" spans="1:2" x14ac:dyDescent="0.25">
      <c r="A1054" s="73"/>
      <c r="B1054" s="73"/>
    </row>
    <row r="1055" spans="1:2" x14ac:dyDescent="0.25">
      <c r="A1055" s="73"/>
      <c r="B1055" s="73"/>
    </row>
    <row r="1056" spans="1:2" x14ac:dyDescent="0.25">
      <c r="A1056" s="73"/>
      <c r="B1056" s="73"/>
    </row>
    <row r="1057" spans="1:2" x14ac:dyDescent="0.25">
      <c r="A1057" s="73"/>
      <c r="B1057" s="73"/>
    </row>
    <row r="1058" spans="1:2" x14ac:dyDescent="0.25">
      <c r="A1058" s="73"/>
      <c r="B1058" s="73"/>
    </row>
    <row r="1059" spans="1:2" x14ac:dyDescent="0.25">
      <c r="A1059" s="73"/>
      <c r="B1059" s="73"/>
    </row>
    <row r="1060" spans="1:2" x14ac:dyDescent="0.25">
      <c r="A1060" s="73"/>
      <c r="B1060" s="73"/>
    </row>
    <row r="1061" spans="1:2" x14ac:dyDescent="0.25">
      <c r="A1061" s="73"/>
      <c r="B1061" s="73"/>
    </row>
    <row r="1062" spans="1:2" x14ac:dyDescent="0.25">
      <c r="A1062" s="73"/>
      <c r="B1062" s="73"/>
    </row>
    <row r="1063" spans="1:2" x14ac:dyDescent="0.25">
      <c r="A1063" s="73"/>
      <c r="B1063" s="73"/>
    </row>
    <row r="1064" spans="1:2" x14ac:dyDescent="0.25">
      <c r="A1064" s="73"/>
      <c r="B1064" s="73"/>
    </row>
    <row r="1065" spans="1:2" x14ac:dyDescent="0.25">
      <c r="A1065" s="73"/>
      <c r="B1065" s="73"/>
    </row>
    <row r="1066" spans="1:2" x14ac:dyDescent="0.25">
      <c r="A1066" s="73"/>
      <c r="B1066" s="73"/>
    </row>
    <row r="1067" spans="1:2" x14ac:dyDescent="0.25">
      <c r="A1067" s="73"/>
      <c r="B1067" s="73"/>
    </row>
    <row r="1068" spans="1:2" x14ac:dyDescent="0.25">
      <c r="A1068" s="73"/>
      <c r="B1068" s="73"/>
    </row>
    <row r="1069" spans="1:2" x14ac:dyDescent="0.25">
      <c r="A1069" s="73"/>
      <c r="B1069" s="73"/>
    </row>
    <row r="1070" spans="1:2" x14ac:dyDescent="0.25">
      <c r="A1070" s="73"/>
      <c r="B1070" s="73"/>
    </row>
    <row r="1071" spans="1:2" x14ac:dyDescent="0.25">
      <c r="A1071" s="73"/>
      <c r="B1071" s="73"/>
    </row>
    <row r="1072" spans="1:2" x14ac:dyDescent="0.25">
      <c r="A1072" s="73"/>
      <c r="B1072" s="73"/>
    </row>
    <row r="1073" spans="1:2" x14ac:dyDescent="0.25">
      <c r="A1073" s="73"/>
      <c r="B1073" s="73"/>
    </row>
    <row r="1074" spans="1:2" x14ac:dyDescent="0.25">
      <c r="A1074" s="73"/>
      <c r="B1074" s="73"/>
    </row>
    <row r="1075" spans="1:2" x14ac:dyDescent="0.25">
      <c r="A1075" s="73"/>
      <c r="B1075" s="73"/>
    </row>
    <row r="1076" spans="1:2" x14ac:dyDescent="0.25">
      <c r="A1076" s="73"/>
      <c r="B1076" s="73"/>
    </row>
    <row r="1077" spans="1:2" x14ac:dyDescent="0.25">
      <c r="A1077" s="73"/>
      <c r="B1077" s="73"/>
    </row>
    <row r="1078" spans="1:2" x14ac:dyDescent="0.25">
      <c r="A1078" s="73"/>
      <c r="B1078" s="73"/>
    </row>
    <row r="1079" spans="1:2" x14ac:dyDescent="0.25">
      <c r="A1079" s="73"/>
      <c r="B1079" s="73"/>
    </row>
    <row r="1080" spans="1:2" x14ac:dyDescent="0.25">
      <c r="A1080" s="73"/>
      <c r="B1080" s="73"/>
    </row>
    <row r="1081" spans="1:2" x14ac:dyDescent="0.25">
      <c r="A1081" s="73"/>
      <c r="B1081" s="73"/>
    </row>
    <row r="1082" spans="1:2" x14ac:dyDescent="0.25">
      <c r="A1082" s="73"/>
      <c r="B1082" s="73"/>
    </row>
    <row r="1083" spans="1:2" x14ac:dyDescent="0.25">
      <c r="A1083" s="73"/>
      <c r="B1083" s="73"/>
    </row>
    <row r="1084" spans="1:2" x14ac:dyDescent="0.25">
      <c r="A1084" s="73"/>
      <c r="B1084" s="73"/>
    </row>
    <row r="1085" spans="1:2" x14ac:dyDescent="0.25">
      <c r="A1085" s="73"/>
      <c r="B1085" s="73"/>
    </row>
    <row r="1086" spans="1:2" x14ac:dyDescent="0.25">
      <c r="A1086" s="73"/>
      <c r="B1086" s="73"/>
    </row>
    <row r="1087" spans="1:2" x14ac:dyDescent="0.25">
      <c r="A1087" s="73"/>
      <c r="B1087" s="73"/>
    </row>
    <row r="1088" spans="1:2" x14ac:dyDescent="0.25">
      <c r="A1088" s="73"/>
      <c r="B1088" s="73"/>
    </row>
    <row r="1089" spans="1:2" x14ac:dyDescent="0.25">
      <c r="A1089" s="73"/>
      <c r="B1089" s="73"/>
    </row>
    <row r="1090" spans="1:2" x14ac:dyDescent="0.25">
      <c r="A1090" s="73"/>
      <c r="B1090" s="73"/>
    </row>
    <row r="1091" spans="1:2" x14ac:dyDescent="0.25">
      <c r="A1091" s="73"/>
      <c r="B1091" s="73"/>
    </row>
    <row r="1092" spans="1:2" x14ac:dyDescent="0.25">
      <c r="A1092" s="73"/>
      <c r="B1092" s="73"/>
    </row>
    <row r="1093" spans="1:2" x14ac:dyDescent="0.25">
      <c r="A1093" s="73"/>
      <c r="B1093" s="73"/>
    </row>
    <row r="1094" spans="1:2" x14ac:dyDescent="0.25">
      <c r="A1094" s="73"/>
      <c r="B1094" s="73"/>
    </row>
    <row r="1095" spans="1:2" x14ac:dyDescent="0.25">
      <c r="A1095" s="73"/>
      <c r="B1095" s="73"/>
    </row>
    <row r="1096" spans="1:2" x14ac:dyDescent="0.25">
      <c r="A1096" s="73"/>
      <c r="B1096" s="73"/>
    </row>
    <row r="1097" spans="1:2" x14ac:dyDescent="0.25">
      <c r="A1097" s="73"/>
      <c r="B1097" s="73"/>
    </row>
    <row r="1098" spans="1:2" x14ac:dyDescent="0.25">
      <c r="A1098" s="73"/>
      <c r="B1098" s="73"/>
    </row>
    <row r="1099" spans="1:2" x14ac:dyDescent="0.25">
      <c r="A1099" s="73"/>
      <c r="B1099" s="73"/>
    </row>
    <row r="1100" spans="1:2" x14ac:dyDescent="0.25">
      <c r="A1100" s="73"/>
      <c r="B1100" s="73"/>
    </row>
    <row r="1101" spans="1:2" x14ac:dyDescent="0.25">
      <c r="A1101" s="73"/>
      <c r="B1101" s="73"/>
    </row>
    <row r="1102" spans="1:2" x14ac:dyDescent="0.25">
      <c r="A1102" s="73"/>
      <c r="B1102" s="73"/>
    </row>
    <row r="1103" spans="1:2" x14ac:dyDescent="0.25">
      <c r="A1103" s="73"/>
      <c r="B1103" s="73"/>
    </row>
    <row r="1104" spans="1:2" x14ac:dyDescent="0.25">
      <c r="A1104" s="73"/>
      <c r="B1104" s="73"/>
    </row>
    <row r="1105" spans="1:2" x14ac:dyDescent="0.25">
      <c r="A1105" s="73"/>
      <c r="B1105" s="73"/>
    </row>
    <row r="1106" spans="1:2" x14ac:dyDescent="0.25">
      <c r="A1106" s="73"/>
      <c r="B1106" s="73"/>
    </row>
    <row r="1107" spans="1:2" x14ac:dyDescent="0.25">
      <c r="A1107" s="73"/>
      <c r="B1107" s="73"/>
    </row>
    <row r="1108" spans="1:2" x14ac:dyDescent="0.25">
      <c r="A1108" s="73"/>
      <c r="B1108" s="73"/>
    </row>
    <row r="1109" spans="1:2" x14ac:dyDescent="0.25">
      <c r="A1109" s="73"/>
      <c r="B1109" s="73"/>
    </row>
    <row r="1110" spans="1:2" x14ac:dyDescent="0.25">
      <c r="A1110" s="73"/>
      <c r="B1110" s="73"/>
    </row>
    <row r="1111" spans="1:2" x14ac:dyDescent="0.25">
      <c r="A1111" s="73"/>
      <c r="B1111" s="73"/>
    </row>
    <row r="1112" spans="1:2" x14ac:dyDescent="0.25">
      <c r="A1112" s="73"/>
      <c r="B1112" s="73"/>
    </row>
    <row r="1113" spans="1:2" x14ac:dyDescent="0.25">
      <c r="A1113" s="73"/>
      <c r="B1113" s="73"/>
    </row>
    <row r="1114" spans="1:2" x14ac:dyDescent="0.25">
      <c r="A1114" s="73"/>
      <c r="B1114" s="73"/>
    </row>
    <row r="1115" spans="1:2" x14ac:dyDescent="0.25">
      <c r="A1115" s="73"/>
      <c r="B1115" s="73"/>
    </row>
    <row r="1116" spans="1:2" x14ac:dyDescent="0.25">
      <c r="A1116" s="73"/>
      <c r="B1116" s="73"/>
    </row>
    <row r="1117" spans="1:2" x14ac:dyDescent="0.25">
      <c r="A1117" s="73"/>
      <c r="B1117" s="73"/>
    </row>
    <row r="1118" spans="1:2" x14ac:dyDescent="0.25">
      <c r="A1118" s="73"/>
      <c r="B1118" s="73"/>
    </row>
    <row r="1119" spans="1:2" x14ac:dyDescent="0.25">
      <c r="A1119" s="73"/>
      <c r="B1119" s="73"/>
    </row>
    <row r="1120" spans="1:2" x14ac:dyDescent="0.25">
      <c r="A1120" s="73"/>
      <c r="B1120" s="73"/>
    </row>
    <row r="1121" spans="1:2" x14ac:dyDescent="0.25">
      <c r="A1121" s="73"/>
      <c r="B1121" s="73"/>
    </row>
    <row r="1122" spans="1:2" x14ac:dyDescent="0.25">
      <c r="A1122" s="73"/>
      <c r="B1122" s="73"/>
    </row>
    <row r="1123" spans="1:2" x14ac:dyDescent="0.25">
      <c r="A1123" s="73"/>
      <c r="B1123" s="73"/>
    </row>
    <row r="1124" spans="1:2" x14ac:dyDescent="0.25">
      <c r="A1124" s="73"/>
      <c r="B1124" s="73"/>
    </row>
    <row r="1125" spans="1:2" x14ac:dyDescent="0.25">
      <c r="A1125" s="73"/>
      <c r="B1125" s="73"/>
    </row>
    <row r="1126" spans="1:2" x14ac:dyDescent="0.25">
      <c r="A1126" s="73"/>
      <c r="B1126" s="73"/>
    </row>
    <row r="1127" spans="1:2" x14ac:dyDescent="0.25">
      <c r="A1127" s="73"/>
      <c r="B1127" s="73"/>
    </row>
    <row r="1128" spans="1:2" x14ac:dyDescent="0.25">
      <c r="A1128" s="73"/>
      <c r="B1128" s="73"/>
    </row>
    <row r="1129" spans="1:2" x14ac:dyDescent="0.25">
      <c r="A1129" s="73"/>
      <c r="B1129" s="73"/>
    </row>
    <row r="1130" spans="1:2" x14ac:dyDescent="0.25">
      <c r="A1130" s="73"/>
      <c r="B1130" s="73"/>
    </row>
    <row r="1131" spans="1:2" x14ac:dyDescent="0.25">
      <c r="A1131" s="73"/>
      <c r="B1131" s="73"/>
    </row>
    <row r="1132" spans="1:2" x14ac:dyDescent="0.25">
      <c r="A1132" s="73"/>
      <c r="B1132" s="73"/>
    </row>
    <row r="1133" spans="1:2" x14ac:dyDescent="0.25">
      <c r="A1133" s="73"/>
      <c r="B1133" s="73"/>
    </row>
    <row r="1134" spans="1:2" x14ac:dyDescent="0.25">
      <c r="A1134" s="73"/>
      <c r="B1134" s="73"/>
    </row>
    <row r="1135" spans="1:2" x14ac:dyDescent="0.25">
      <c r="A1135" s="73"/>
      <c r="B1135" s="73"/>
    </row>
    <row r="1136" spans="1:2" x14ac:dyDescent="0.25">
      <c r="A1136" s="73"/>
      <c r="B1136" s="73"/>
    </row>
    <row r="1137" spans="1:2" x14ac:dyDescent="0.25">
      <c r="A1137" s="73"/>
      <c r="B1137" s="73"/>
    </row>
    <row r="1138" spans="1:2" x14ac:dyDescent="0.25">
      <c r="A1138" s="73"/>
      <c r="B1138" s="73"/>
    </row>
    <row r="1139" spans="1:2" x14ac:dyDescent="0.25">
      <c r="A1139" s="73"/>
      <c r="B1139" s="73"/>
    </row>
    <row r="1140" spans="1:2" x14ac:dyDescent="0.25">
      <c r="A1140" s="73"/>
      <c r="B1140" s="73"/>
    </row>
    <row r="1141" spans="1:2" x14ac:dyDescent="0.25">
      <c r="A1141" s="73"/>
      <c r="B1141" s="73"/>
    </row>
    <row r="1142" spans="1:2" x14ac:dyDescent="0.25">
      <c r="A1142" s="73"/>
      <c r="B1142" s="73"/>
    </row>
    <row r="1143" spans="1:2" x14ac:dyDescent="0.25">
      <c r="A1143" s="73"/>
      <c r="B1143" s="73"/>
    </row>
    <row r="1144" spans="1:2" x14ac:dyDescent="0.25">
      <c r="A1144" s="73"/>
      <c r="B1144" s="73"/>
    </row>
    <row r="1145" spans="1:2" x14ac:dyDescent="0.25">
      <c r="A1145" s="73"/>
      <c r="B1145" s="73"/>
    </row>
    <row r="1146" spans="1:2" x14ac:dyDescent="0.25">
      <c r="A1146" s="73"/>
      <c r="B1146" s="73"/>
    </row>
    <row r="1147" spans="1:2" x14ac:dyDescent="0.25">
      <c r="A1147" s="73"/>
      <c r="B1147" s="73"/>
    </row>
    <row r="1148" spans="1:2" x14ac:dyDescent="0.25">
      <c r="A1148" s="73"/>
      <c r="B1148" s="73"/>
    </row>
    <row r="1149" spans="1:2" x14ac:dyDescent="0.25">
      <c r="A1149" s="73"/>
      <c r="B1149" s="73"/>
    </row>
    <row r="1150" spans="1:2" x14ac:dyDescent="0.25">
      <c r="A1150" s="73"/>
      <c r="B1150" s="73"/>
    </row>
    <row r="1151" spans="1:2" x14ac:dyDescent="0.25">
      <c r="A1151" s="73"/>
      <c r="B1151" s="73"/>
    </row>
    <row r="1152" spans="1:2" x14ac:dyDescent="0.25">
      <c r="A1152" s="73"/>
      <c r="B1152" s="73"/>
    </row>
    <row r="1153" spans="1:2" x14ac:dyDescent="0.25">
      <c r="A1153" s="73"/>
      <c r="B1153" s="73"/>
    </row>
    <row r="1154" spans="1:2" x14ac:dyDescent="0.25">
      <c r="A1154" s="73"/>
      <c r="B1154" s="73"/>
    </row>
    <row r="1155" spans="1:2" x14ac:dyDescent="0.25">
      <c r="A1155" s="73"/>
      <c r="B1155" s="73"/>
    </row>
    <row r="1156" spans="1:2" x14ac:dyDescent="0.25">
      <c r="A1156" s="73"/>
      <c r="B1156" s="73"/>
    </row>
    <row r="1157" spans="1:2" x14ac:dyDescent="0.25">
      <c r="A1157" s="73"/>
      <c r="B1157" s="73"/>
    </row>
    <row r="1158" spans="1:2" x14ac:dyDescent="0.25">
      <c r="A1158" s="73"/>
      <c r="B1158" s="73"/>
    </row>
    <row r="1159" spans="1:2" x14ac:dyDescent="0.25">
      <c r="A1159" s="73"/>
      <c r="B1159" s="73"/>
    </row>
    <row r="1160" spans="1:2" x14ac:dyDescent="0.25">
      <c r="A1160" s="73"/>
      <c r="B1160" s="73"/>
    </row>
    <row r="1161" spans="1:2" x14ac:dyDescent="0.25">
      <c r="A1161" s="73"/>
      <c r="B1161" s="73"/>
    </row>
    <row r="1162" spans="1:2" x14ac:dyDescent="0.25">
      <c r="A1162" s="73"/>
      <c r="B1162" s="73"/>
    </row>
    <row r="1163" spans="1:2" x14ac:dyDescent="0.25">
      <c r="A1163" s="73"/>
      <c r="B1163" s="73"/>
    </row>
    <row r="1164" spans="1:2" x14ac:dyDescent="0.25">
      <c r="A1164" s="73"/>
      <c r="B1164" s="73"/>
    </row>
    <row r="1165" spans="1:2" x14ac:dyDescent="0.25">
      <c r="A1165" s="73"/>
      <c r="B1165" s="73"/>
    </row>
    <row r="1166" spans="1:2" x14ac:dyDescent="0.25">
      <c r="A1166" s="73"/>
      <c r="B1166" s="73"/>
    </row>
    <row r="1167" spans="1:2" x14ac:dyDescent="0.25">
      <c r="A1167" s="73"/>
      <c r="B1167" s="73"/>
    </row>
    <row r="1168" spans="1:2" x14ac:dyDescent="0.25">
      <c r="A1168" s="73"/>
      <c r="B1168" s="73"/>
    </row>
    <row r="1169" spans="1:2" x14ac:dyDescent="0.25">
      <c r="A1169" s="73"/>
      <c r="B1169" s="73"/>
    </row>
    <row r="1170" spans="1:2" x14ac:dyDescent="0.25">
      <c r="A1170" s="73"/>
      <c r="B1170" s="73"/>
    </row>
    <row r="1171" spans="1:2" x14ac:dyDescent="0.25">
      <c r="A1171" s="73"/>
      <c r="B1171" s="73"/>
    </row>
    <row r="1172" spans="1:2" x14ac:dyDescent="0.25">
      <c r="A1172" s="73"/>
      <c r="B1172" s="73"/>
    </row>
    <row r="1173" spans="1:2" x14ac:dyDescent="0.25">
      <c r="A1173" s="73"/>
      <c r="B1173" s="73"/>
    </row>
    <row r="1174" spans="1:2" x14ac:dyDescent="0.25">
      <c r="A1174" s="73"/>
      <c r="B1174" s="73"/>
    </row>
    <row r="1175" spans="1:2" x14ac:dyDescent="0.25">
      <c r="A1175" s="73"/>
      <c r="B1175" s="73"/>
    </row>
    <row r="1176" spans="1:2" x14ac:dyDescent="0.25">
      <c r="A1176" s="73"/>
      <c r="B1176" s="73"/>
    </row>
    <row r="1177" spans="1:2" x14ac:dyDescent="0.25">
      <c r="A1177" s="73"/>
      <c r="B1177" s="73"/>
    </row>
    <row r="1178" spans="1:2" x14ac:dyDescent="0.25">
      <c r="A1178" s="73"/>
      <c r="B1178" s="73"/>
    </row>
    <row r="1179" spans="1:2" x14ac:dyDescent="0.25">
      <c r="A1179" s="73"/>
      <c r="B1179" s="73"/>
    </row>
    <row r="1180" spans="1:2" x14ac:dyDescent="0.25">
      <c r="A1180" s="73"/>
      <c r="B1180" s="73"/>
    </row>
    <row r="1181" spans="1:2" x14ac:dyDescent="0.25">
      <c r="A1181" s="73"/>
      <c r="B1181" s="73"/>
    </row>
    <row r="1182" spans="1:2" x14ac:dyDescent="0.25">
      <c r="A1182" s="73"/>
      <c r="B1182" s="73"/>
    </row>
    <row r="1183" spans="1:2" x14ac:dyDescent="0.25">
      <c r="A1183" s="73"/>
      <c r="B1183" s="73"/>
    </row>
    <row r="1184" spans="1:2" x14ac:dyDescent="0.25">
      <c r="A1184" s="73"/>
      <c r="B1184" s="73"/>
    </row>
    <row r="1185" spans="1:2" x14ac:dyDescent="0.25">
      <c r="A1185" s="73"/>
      <c r="B1185" s="73"/>
    </row>
    <row r="1186" spans="1:2" x14ac:dyDescent="0.25">
      <c r="A1186" s="73"/>
      <c r="B1186" s="73"/>
    </row>
    <row r="1187" spans="1:2" x14ac:dyDescent="0.25">
      <c r="A1187" s="73"/>
      <c r="B1187" s="73"/>
    </row>
    <row r="1188" spans="1:2" x14ac:dyDescent="0.25">
      <c r="A1188" s="73"/>
      <c r="B1188" s="73"/>
    </row>
    <row r="1189" spans="1:2" x14ac:dyDescent="0.25">
      <c r="A1189" s="73"/>
      <c r="B1189" s="73"/>
    </row>
    <row r="1190" spans="1:2" x14ac:dyDescent="0.25">
      <c r="A1190" s="73"/>
      <c r="B1190" s="73"/>
    </row>
    <row r="1191" spans="1:2" x14ac:dyDescent="0.25">
      <c r="A1191" s="73"/>
      <c r="B1191" s="73"/>
    </row>
    <row r="1192" spans="1:2" x14ac:dyDescent="0.25">
      <c r="A1192" s="73"/>
      <c r="B1192" s="73"/>
    </row>
    <row r="1193" spans="1:2" x14ac:dyDescent="0.25">
      <c r="A1193" s="73"/>
      <c r="B1193" s="73"/>
    </row>
    <row r="1194" spans="1:2" x14ac:dyDescent="0.25">
      <c r="A1194" s="73"/>
      <c r="B1194" s="73"/>
    </row>
    <row r="1195" spans="1:2" x14ac:dyDescent="0.25">
      <c r="A1195" s="73"/>
      <c r="B1195" s="73"/>
    </row>
    <row r="1196" spans="1:2" x14ac:dyDescent="0.25">
      <c r="A1196" s="73"/>
      <c r="B1196" s="73"/>
    </row>
    <row r="1197" spans="1:2" x14ac:dyDescent="0.25">
      <c r="A1197" s="73"/>
      <c r="B1197" s="73"/>
    </row>
    <row r="1198" spans="1:2" x14ac:dyDescent="0.25">
      <c r="A1198" s="73"/>
      <c r="B1198" s="73"/>
    </row>
    <row r="1199" spans="1:2" x14ac:dyDescent="0.25">
      <c r="A1199" s="73"/>
      <c r="B1199" s="73"/>
    </row>
    <row r="1200" spans="1:2" x14ac:dyDescent="0.25">
      <c r="A1200" s="73"/>
      <c r="B1200" s="73"/>
    </row>
    <row r="1201" spans="1:2" x14ac:dyDescent="0.25">
      <c r="A1201" s="73"/>
      <c r="B1201" s="73"/>
    </row>
    <row r="1202" spans="1:2" x14ac:dyDescent="0.25">
      <c r="A1202" s="73"/>
      <c r="B1202" s="73"/>
    </row>
    <row r="1203" spans="1:2" x14ac:dyDescent="0.25">
      <c r="A1203" s="73"/>
      <c r="B1203" s="73"/>
    </row>
    <row r="1204" spans="1:2" x14ac:dyDescent="0.25">
      <c r="A1204" s="73"/>
      <c r="B1204" s="73"/>
    </row>
    <row r="1205" spans="1:2" x14ac:dyDescent="0.25">
      <c r="A1205" s="73"/>
      <c r="B1205" s="73"/>
    </row>
    <row r="1206" spans="1:2" x14ac:dyDescent="0.25">
      <c r="A1206" s="73"/>
      <c r="B1206" s="73"/>
    </row>
    <row r="1207" spans="1:2" x14ac:dyDescent="0.25">
      <c r="A1207" s="73"/>
      <c r="B1207" s="73"/>
    </row>
    <row r="1208" spans="1:2" x14ac:dyDescent="0.25">
      <c r="A1208" s="73"/>
      <c r="B1208" s="73"/>
    </row>
    <row r="1209" spans="1:2" x14ac:dyDescent="0.25">
      <c r="A1209" s="73"/>
      <c r="B1209" s="73"/>
    </row>
    <row r="1210" spans="1:2" x14ac:dyDescent="0.25">
      <c r="A1210" s="73"/>
      <c r="B1210" s="73"/>
    </row>
    <row r="1211" spans="1:2" x14ac:dyDescent="0.25">
      <c r="A1211" s="73"/>
      <c r="B1211" s="73"/>
    </row>
    <row r="1212" spans="1:2" x14ac:dyDescent="0.25">
      <c r="A1212" s="73"/>
      <c r="B1212" s="73"/>
    </row>
    <row r="1213" spans="1:2" x14ac:dyDescent="0.25">
      <c r="A1213" s="73"/>
      <c r="B1213" s="73"/>
    </row>
    <row r="1214" spans="1:2" x14ac:dyDescent="0.25">
      <c r="A1214" s="73"/>
      <c r="B1214" s="73"/>
    </row>
    <row r="1215" spans="1:2" x14ac:dyDescent="0.25">
      <c r="A1215" s="73"/>
      <c r="B1215" s="73"/>
    </row>
    <row r="1216" spans="1:2" x14ac:dyDescent="0.25">
      <c r="A1216" s="73"/>
      <c r="B1216" s="73"/>
    </row>
    <row r="1217" spans="1:2" x14ac:dyDescent="0.25">
      <c r="A1217" s="73"/>
      <c r="B1217" s="73"/>
    </row>
    <row r="1218" spans="1:2" x14ac:dyDescent="0.25">
      <c r="A1218" s="73"/>
      <c r="B1218" s="73"/>
    </row>
    <row r="1219" spans="1:2" x14ac:dyDescent="0.25">
      <c r="A1219" s="73"/>
      <c r="B1219" s="73"/>
    </row>
    <row r="1220" spans="1:2" x14ac:dyDescent="0.25">
      <c r="A1220" s="73"/>
      <c r="B1220" s="73"/>
    </row>
    <row r="1221" spans="1:2" x14ac:dyDescent="0.25">
      <c r="A1221" s="73"/>
      <c r="B1221" s="73"/>
    </row>
    <row r="1222" spans="1:2" x14ac:dyDescent="0.25">
      <c r="A1222" s="73"/>
      <c r="B1222" s="73"/>
    </row>
    <row r="1223" spans="1:2" x14ac:dyDescent="0.25">
      <c r="A1223" s="73"/>
      <c r="B1223" s="73"/>
    </row>
    <row r="1224" spans="1:2" x14ac:dyDescent="0.25">
      <c r="A1224" s="73"/>
      <c r="B1224" s="73"/>
    </row>
    <row r="1225" spans="1:2" x14ac:dyDescent="0.25">
      <c r="A1225" s="73"/>
      <c r="B1225" s="73"/>
    </row>
    <row r="1226" spans="1:2" x14ac:dyDescent="0.25">
      <c r="A1226" s="73"/>
      <c r="B1226" s="73"/>
    </row>
    <row r="1227" spans="1:2" x14ac:dyDescent="0.25">
      <c r="A1227" s="73"/>
      <c r="B1227" s="73"/>
    </row>
    <row r="1228" spans="1:2" x14ac:dyDescent="0.25">
      <c r="A1228" s="73"/>
      <c r="B1228" s="73"/>
    </row>
    <row r="1229" spans="1:2" x14ac:dyDescent="0.25">
      <c r="A1229" s="73"/>
      <c r="B1229" s="73"/>
    </row>
    <row r="1230" spans="1:2" x14ac:dyDescent="0.25">
      <c r="A1230" s="73"/>
      <c r="B1230" s="73"/>
    </row>
    <row r="1231" spans="1:2" x14ac:dyDescent="0.25">
      <c r="A1231" s="73"/>
      <c r="B1231" s="73"/>
    </row>
    <row r="1232" spans="1:2" x14ac:dyDescent="0.25">
      <c r="A1232" s="73"/>
      <c r="B1232" s="73"/>
    </row>
    <row r="1233" spans="1:2" x14ac:dyDescent="0.25">
      <c r="A1233" s="73"/>
      <c r="B1233" s="73"/>
    </row>
    <row r="1234" spans="1:2" x14ac:dyDescent="0.25">
      <c r="A1234" s="73"/>
      <c r="B1234" s="73"/>
    </row>
    <row r="1235" spans="1:2" x14ac:dyDescent="0.25">
      <c r="A1235" s="73"/>
      <c r="B1235" s="73"/>
    </row>
    <row r="1236" spans="1:2" x14ac:dyDescent="0.25">
      <c r="A1236" s="73"/>
      <c r="B1236" s="73"/>
    </row>
    <row r="1237" spans="1:2" x14ac:dyDescent="0.25">
      <c r="A1237" s="73"/>
      <c r="B1237" s="73"/>
    </row>
    <row r="1238" spans="1:2" x14ac:dyDescent="0.25">
      <c r="A1238" s="73"/>
      <c r="B1238" s="73"/>
    </row>
    <row r="1239" spans="1:2" x14ac:dyDescent="0.25">
      <c r="A1239" s="73"/>
      <c r="B1239" s="73"/>
    </row>
    <row r="1240" spans="1:2" x14ac:dyDescent="0.25">
      <c r="A1240" s="73"/>
      <c r="B1240" s="73"/>
    </row>
    <row r="1241" spans="1:2" x14ac:dyDescent="0.25">
      <c r="A1241" s="73"/>
      <c r="B1241" s="73"/>
    </row>
    <row r="1242" spans="1:2" x14ac:dyDescent="0.25">
      <c r="A1242" s="73"/>
      <c r="B1242" s="73"/>
    </row>
    <row r="1243" spans="1:2" x14ac:dyDescent="0.25">
      <c r="A1243" s="73"/>
      <c r="B1243" s="73"/>
    </row>
    <row r="1244" spans="1:2" x14ac:dyDescent="0.25">
      <c r="A1244" s="73"/>
      <c r="B1244" s="73"/>
    </row>
    <row r="1245" spans="1:2" x14ac:dyDescent="0.25">
      <c r="A1245" s="73"/>
      <c r="B1245" s="73"/>
    </row>
    <row r="1246" spans="1:2" x14ac:dyDescent="0.25">
      <c r="A1246" s="73"/>
      <c r="B1246" s="73"/>
    </row>
    <row r="1247" spans="1:2" x14ac:dyDescent="0.25">
      <c r="A1247" s="73"/>
      <c r="B1247" s="73"/>
    </row>
    <row r="1248" spans="1:2" x14ac:dyDescent="0.25">
      <c r="A1248" s="73"/>
      <c r="B1248" s="73"/>
    </row>
    <row r="1249" spans="1:2" x14ac:dyDescent="0.25">
      <c r="A1249" s="73"/>
      <c r="B1249" s="73"/>
    </row>
    <row r="1250" spans="1:2" x14ac:dyDescent="0.25">
      <c r="A1250" s="73"/>
      <c r="B1250" s="73"/>
    </row>
    <row r="1251" spans="1:2" x14ac:dyDescent="0.25">
      <c r="A1251" s="73"/>
      <c r="B1251" s="73"/>
    </row>
    <row r="1252" spans="1:2" x14ac:dyDescent="0.25">
      <c r="A1252" s="73"/>
      <c r="B1252" s="73"/>
    </row>
    <row r="1253" spans="1:2" x14ac:dyDescent="0.25">
      <c r="A1253" s="73"/>
      <c r="B1253" s="73"/>
    </row>
    <row r="1254" spans="1:2" x14ac:dyDescent="0.25">
      <c r="A1254" s="73"/>
      <c r="B1254" s="73"/>
    </row>
    <row r="1255" spans="1:2" x14ac:dyDescent="0.25">
      <c r="A1255" s="73"/>
      <c r="B1255" s="73"/>
    </row>
    <row r="1256" spans="1:2" x14ac:dyDescent="0.25">
      <c r="A1256" s="73"/>
      <c r="B1256" s="73"/>
    </row>
    <row r="1257" spans="1:2" x14ac:dyDescent="0.25">
      <c r="A1257" s="73"/>
      <c r="B1257" s="73"/>
    </row>
    <row r="1258" spans="1:2" x14ac:dyDescent="0.25">
      <c r="A1258" s="73"/>
      <c r="B1258" s="73"/>
    </row>
    <row r="1259" spans="1:2" x14ac:dyDescent="0.25">
      <c r="A1259" s="73"/>
      <c r="B1259" s="73"/>
    </row>
    <row r="1260" spans="1:2" x14ac:dyDescent="0.25">
      <c r="A1260" s="73"/>
      <c r="B1260" s="73"/>
    </row>
    <row r="1261" spans="1:2" x14ac:dyDescent="0.25">
      <c r="A1261" s="73"/>
      <c r="B1261" s="73"/>
    </row>
    <row r="1262" spans="1:2" x14ac:dyDescent="0.25">
      <c r="A1262" s="73"/>
      <c r="B1262" s="73"/>
    </row>
    <row r="1263" spans="1:2" x14ac:dyDescent="0.25">
      <c r="A1263" s="73"/>
      <c r="B1263" s="73"/>
    </row>
    <row r="1264" spans="1:2" x14ac:dyDescent="0.25">
      <c r="A1264" s="73"/>
      <c r="B1264" s="73"/>
    </row>
    <row r="1265" spans="1:2" x14ac:dyDescent="0.25">
      <c r="A1265" s="73"/>
      <c r="B1265" s="73"/>
    </row>
    <row r="1266" spans="1:2" x14ac:dyDescent="0.25">
      <c r="A1266" s="73"/>
      <c r="B1266" s="73"/>
    </row>
    <row r="1267" spans="1:2" x14ac:dyDescent="0.25">
      <c r="A1267" s="73"/>
      <c r="B1267" s="73"/>
    </row>
    <row r="1268" spans="1:2" x14ac:dyDescent="0.25">
      <c r="A1268" s="73"/>
      <c r="B1268" s="73"/>
    </row>
    <row r="1269" spans="1:2" x14ac:dyDescent="0.25">
      <c r="A1269" s="73"/>
      <c r="B1269" s="73"/>
    </row>
    <row r="1270" spans="1:2" x14ac:dyDescent="0.25">
      <c r="A1270" s="73"/>
      <c r="B1270" s="73"/>
    </row>
    <row r="1271" spans="1:2" x14ac:dyDescent="0.25">
      <c r="A1271" s="73"/>
      <c r="B1271" s="73"/>
    </row>
    <row r="1272" spans="1:2" x14ac:dyDescent="0.25">
      <c r="A1272" s="73"/>
      <c r="B1272" s="73"/>
    </row>
    <row r="1273" spans="1:2" x14ac:dyDescent="0.25">
      <c r="A1273" s="73"/>
      <c r="B1273" s="73"/>
    </row>
    <row r="1274" spans="1:2" x14ac:dyDescent="0.25">
      <c r="A1274" s="73"/>
      <c r="B1274" s="73"/>
    </row>
    <row r="1275" spans="1:2" x14ac:dyDescent="0.25">
      <c r="A1275" s="73"/>
      <c r="B1275" s="73"/>
    </row>
    <row r="1276" spans="1:2" x14ac:dyDescent="0.25">
      <c r="A1276" s="73"/>
      <c r="B1276" s="73"/>
    </row>
    <row r="1277" spans="1:2" x14ac:dyDescent="0.25">
      <c r="A1277" s="73"/>
      <c r="B1277" s="73"/>
    </row>
    <row r="1278" spans="1:2" x14ac:dyDescent="0.25">
      <c r="A1278" s="73"/>
      <c r="B1278" s="73"/>
    </row>
    <row r="1279" spans="1:2" x14ac:dyDescent="0.25">
      <c r="A1279" s="73"/>
      <c r="B1279" s="73"/>
    </row>
    <row r="1280" spans="1:2" x14ac:dyDescent="0.25">
      <c r="A1280" s="73"/>
      <c r="B1280" s="73"/>
    </row>
    <row r="1281" spans="1:2" x14ac:dyDescent="0.25">
      <c r="A1281" s="73"/>
      <c r="B1281" s="73"/>
    </row>
    <row r="1282" spans="1:2" x14ac:dyDescent="0.25">
      <c r="A1282" s="73"/>
      <c r="B1282" s="73"/>
    </row>
    <row r="1283" spans="1:2" x14ac:dyDescent="0.25">
      <c r="A1283" s="73"/>
      <c r="B1283" s="73"/>
    </row>
    <row r="1284" spans="1:2" x14ac:dyDescent="0.25">
      <c r="A1284" s="73"/>
      <c r="B1284" s="73"/>
    </row>
    <row r="1285" spans="1:2" x14ac:dyDescent="0.25">
      <c r="A1285" s="73"/>
      <c r="B1285" s="73"/>
    </row>
    <row r="1286" spans="1:2" x14ac:dyDescent="0.25">
      <c r="A1286" s="73"/>
      <c r="B1286" s="73"/>
    </row>
    <row r="1287" spans="1:2" x14ac:dyDescent="0.25">
      <c r="A1287" s="73"/>
      <c r="B1287" s="73"/>
    </row>
    <row r="1288" spans="1:2" x14ac:dyDescent="0.25">
      <c r="A1288" s="73"/>
      <c r="B1288" s="73"/>
    </row>
    <row r="1289" spans="1:2" x14ac:dyDescent="0.25">
      <c r="A1289" s="73"/>
      <c r="B1289" s="73"/>
    </row>
    <row r="1290" spans="1:2" x14ac:dyDescent="0.25">
      <c r="A1290" s="73"/>
      <c r="B1290" s="73"/>
    </row>
    <row r="1291" spans="1:2" x14ac:dyDescent="0.25">
      <c r="A1291" s="73"/>
      <c r="B1291" s="73"/>
    </row>
    <row r="1292" spans="1:2" x14ac:dyDescent="0.25">
      <c r="A1292" s="73"/>
      <c r="B1292" s="73"/>
    </row>
    <row r="1293" spans="1:2" x14ac:dyDescent="0.25">
      <c r="A1293" s="73"/>
      <c r="B1293" s="73"/>
    </row>
    <row r="1294" spans="1:2" x14ac:dyDescent="0.25">
      <c r="A1294" s="73"/>
      <c r="B1294" s="73"/>
    </row>
    <row r="1295" spans="1:2" x14ac:dyDescent="0.25">
      <c r="A1295" s="73"/>
      <c r="B1295" s="73"/>
    </row>
    <row r="1296" spans="1:2" x14ac:dyDescent="0.25">
      <c r="A1296" s="73"/>
      <c r="B1296" s="73"/>
    </row>
    <row r="1297" spans="1:2" x14ac:dyDescent="0.25">
      <c r="A1297" s="73"/>
      <c r="B1297" s="73"/>
    </row>
    <row r="1298" spans="1:2" x14ac:dyDescent="0.25">
      <c r="A1298" s="73"/>
      <c r="B1298" s="73"/>
    </row>
    <row r="1299" spans="1:2" x14ac:dyDescent="0.25">
      <c r="A1299" s="73"/>
      <c r="B1299" s="73"/>
    </row>
    <row r="1300" spans="1:2" x14ac:dyDescent="0.25">
      <c r="A1300" s="73"/>
      <c r="B1300" s="73"/>
    </row>
    <row r="1301" spans="1:2" x14ac:dyDescent="0.25">
      <c r="A1301" s="73"/>
      <c r="B1301" s="73"/>
    </row>
    <row r="1302" spans="1:2" x14ac:dyDescent="0.25">
      <c r="A1302" s="73"/>
      <c r="B1302" s="73"/>
    </row>
    <row r="1303" spans="1:2" x14ac:dyDescent="0.25">
      <c r="A1303" s="73"/>
      <c r="B1303" s="73"/>
    </row>
    <row r="1304" spans="1:2" x14ac:dyDescent="0.25">
      <c r="A1304" s="73"/>
      <c r="B1304" s="73"/>
    </row>
    <row r="1305" spans="1:2" x14ac:dyDescent="0.25">
      <c r="A1305" s="73"/>
      <c r="B1305" s="73"/>
    </row>
    <row r="1306" spans="1:2" x14ac:dyDescent="0.25">
      <c r="A1306" s="73"/>
      <c r="B1306" s="73"/>
    </row>
    <row r="1307" spans="1:2" x14ac:dyDescent="0.25">
      <c r="A1307" s="73"/>
      <c r="B1307" s="73"/>
    </row>
    <row r="1308" spans="1:2" x14ac:dyDescent="0.25">
      <c r="A1308" s="73"/>
      <c r="B1308" s="73"/>
    </row>
    <row r="1309" spans="1:2" x14ac:dyDescent="0.25">
      <c r="A1309" s="73"/>
      <c r="B1309" s="73"/>
    </row>
    <row r="1310" spans="1:2" x14ac:dyDescent="0.25">
      <c r="A1310" s="73"/>
      <c r="B1310" s="73"/>
    </row>
    <row r="1311" spans="1:2" x14ac:dyDescent="0.25">
      <c r="A1311" s="73"/>
      <c r="B1311" s="73"/>
    </row>
    <row r="1312" spans="1:2" x14ac:dyDescent="0.25">
      <c r="A1312" s="73"/>
      <c r="B1312" s="73"/>
    </row>
    <row r="1313" spans="1:2" x14ac:dyDescent="0.25">
      <c r="A1313" s="73"/>
      <c r="B1313" s="73"/>
    </row>
    <row r="1314" spans="1:2" x14ac:dyDescent="0.25">
      <c r="A1314" s="73"/>
      <c r="B1314" s="73"/>
    </row>
    <row r="1315" spans="1:2" x14ac:dyDescent="0.25">
      <c r="A1315" s="73"/>
      <c r="B1315" s="73"/>
    </row>
    <row r="1316" spans="1:2" x14ac:dyDescent="0.25">
      <c r="A1316" s="73"/>
      <c r="B1316" s="73"/>
    </row>
    <row r="1317" spans="1:2" x14ac:dyDescent="0.25">
      <c r="A1317" s="73"/>
      <c r="B1317" s="73"/>
    </row>
    <row r="1318" spans="1:2" x14ac:dyDescent="0.25">
      <c r="A1318" s="73"/>
      <c r="B1318" s="73"/>
    </row>
    <row r="1319" spans="1:2" x14ac:dyDescent="0.25">
      <c r="A1319" s="73"/>
      <c r="B1319" s="73"/>
    </row>
    <row r="1320" spans="1:2" x14ac:dyDescent="0.25">
      <c r="A1320" s="73"/>
      <c r="B1320" s="73"/>
    </row>
    <row r="1321" spans="1:2" x14ac:dyDescent="0.25">
      <c r="A1321" s="73"/>
      <c r="B1321" s="73"/>
    </row>
    <row r="1322" spans="1:2" x14ac:dyDescent="0.25">
      <c r="A1322" s="73"/>
      <c r="B1322" s="73"/>
    </row>
    <row r="1323" spans="1:2" x14ac:dyDescent="0.25">
      <c r="A1323" s="73"/>
      <c r="B1323" s="73"/>
    </row>
    <row r="1324" spans="1:2" x14ac:dyDescent="0.25">
      <c r="A1324" s="73"/>
      <c r="B1324" s="73"/>
    </row>
    <row r="1325" spans="1:2" x14ac:dyDescent="0.25">
      <c r="A1325" s="73"/>
      <c r="B1325" s="73"/>
    </row>
    <row r="1326" spans="1:2" x14ac:dyDescent="0.25">
      <c r="A1326" s="73"/>
      <c r="B1326" s="73"/>
    </row>
    <row r="1327" spans="1:2" x14ac:dyDescent="0.25">
      <c r="A1327" s="73"/>
      <c r="B1327" s="73"/>
    </row>
    <row r="1328" spans="1:2" x14ac:dyDescent="0.25">
      <c r="A1328" s="73"/>
      <c r="B1328" s="73"/>
    </row>
    <row r="1329" spans="1:2" x14ac:dyDescent="0.25">
      <c r="A1329" s="73"/>
      <c r="B1329" s="73"/>
    </row>
    <row r="1330" spans="1:2" x14ac:dyDescent="0.25">
      <c r="A1330" s="73"/>
      <c r="B1330" s="73"/>
    </row>
    <row r="1331" spans="1:2" x14ac:dyDescent="0.25">
      <c r="A1331" s="73"/>
      <c r="B1331" s="73"/>
    </row>
    <row r="1332" spans="1:2" x14ac:dyDescent="0.25">
      <c r="A1332" s="73"/>
      <c r="B1332" s="73"/>
    </row>
    <row r="1333" spans="1:2" x14ac:dyDescent="0.25">
      <c r="A1333" s="73"/>
      <c r="B1333" s="73"/>
    </row>
    <row r="1334" spans="1:2" x14ac:dyDescent="0.25">
      <c r="A1334" s="73"/>
      <c r="B1334" s="73"/>
    </row>
    <row r="1335" spans="1:2" x14ac:dyDescent="0.25">
      <c r="A1335" s="73"/>
      <c r="B1335" s="73"/>
    </row>
    <row r="1336" spans="1:2" x14ac:dyDescent="0.25">
      <c r="A1336" s="73"/>
      <c r="B1336" s="73"/>
    </row>
    <row r="1337" spans="1:2" x14ac:dyDescent="0.25">
      <c r="A1337" s="73"/>
      <c r="B1337" s="73"/>
    </row>
    <row r="1338" spans="1:2" x14ac:dyDescent="0.25">
      <c r="A1338" s="73"/>
      <c r="B1338" s="73"/>
    </row>
    <row r="1339" spans="1:2" x14ac:dyDescent="0.25">
      <c r="A1339" s="73"/>
      <c r="B1339" s="73"/>
    </row>
    <row r="1340" spans="1:2" x14ac:dyDescent="0.25">
      <c r="A1340" s="73"/>
      <c r="B1340" s="73"/>
    </row>
    <row r="1341" spans="1:2" x14ac:dyDescent="0.25">
      <c r="A1341" s="73"/>
      <c r="B1341" s="73"/>
    </row>
    <row r="1342" spans="1:2" x14ac:dyDescent="0.25">
      <c r="A1342" s="73"/>
      <c r="B1342" s="73"/>
    </row>
    <row r="1343" spans="1:2" x14ac:dyDescent="0.25">
      <c r="A1343" s="73"/>
      <c r="B1343" s="73"/>
    </row>
    <row r="1344" spans="1:2" x14ac:dyDescent="0.25">
      <c r="A1344" s="73"/>
      <c r="B1344" s="73"/>
    </row>
    <row r="1345" spans="1:2" x14ac:dyDescent="0.25">
      <c r="A1345" s="73"/>
      <c r="B1345" s="73"/>
    </row>
    <row r="1346" spans="1:2" x14ac:dyDescent="0.25">
      <c r="A1346" s="73"/>
      <c r="B1346" s="73"/>
    </row>
    <row r="1347" spans="1:2" x14ac:dyDescent="0.25">
      <c r="A1347" s="73"/>
      <c r="B1347" s="73"/>
    </row>
    <row r="1348" spans="1:2" x14ac:dyDescent="0.25">
      <c r="A1348" s="73"/>
      <c r="B1348" s="73"/>
    </row>
    <row r="1349" spans="1:2" x14ac:dyDescent="0.25">
      <c r="A1349" s="73"/>
      <c r="B1349" s="73"/>
    </row>
    <row r="1350" spans="1:2" x14ac:dyDescent="0.25">
      <c r="A1350" s="73"/>
      <c r="B1350" s="73"/>
    </row>
    <row r="1351" spans="1:2" x14ac:dyDescent="0.25">
      <c r="A1351" s="73"/>
      <c r="B1351" s="73"/>
    </row>
    <row r="1352" spans="1:2" x14ac:dyDescent="0.25">
      <c r="A1352" s="73"/>
      <c r="B1352" s="73"/>
    </row>
    <row r="1353" spans="1:2" x14ac:dyDescent="0.25">
      <c r="A1353" s="73"/>
      <c r="B1353" s="73"/>
    </row>
    <row r="1354" spans="1:2" x14ac:dyDescent="0.25">
      <c r="A1354" s="73"/>
      <c r="B1354" s="73"/>
    </row>
    <row r="1355" spans="1:2" x14ac:dyDescent="0.25">
      <c r="A1355" s="73"/>
      <c r="B1355" s="73"/>
    </row>
    <row r="1356" spans="1:2" x14ac:dyDescent="0.25">
      <c r="A1356" s="73"/>
      <c r="B1356" s="73"/>
    </row>
    <row r="1357" spans="1:2" x14ac:dyDescent="0.25">
      <c r="A1357" s="73"/>
      <c r="B1357" s="73"/>
    </row>
    <row r="1358" spans="1:2" x14ac:dyDescent="0.25">
      <c r="A1358" s="73"/>
      <c r="B1358" s="73"/>
    </row>
    <row r="1359" spans="1:2" x14ac:dyDescent="0.25">
      <c r="A1359" s="73"/>
      <c r="B1359" s="73"/>
    </row>
    <row r="1360" spans="1:2" x14ac:dyDescent="0.25">
      <c r="A1360" s="73"/>
      <c r="B1360" s="73"/>
    </row>
    <row r="1361" spans="1:2" x14ac:dyDescent="0.25">
      <c r="A1361" s="73"/>
      <c r="B1361" s="73"/>
    </row>
    <row r="1362" spans="1:2" x14ac:dyDescent="0.25">
      <c r="A1362" s="73"/>
      <c r="B1362" s="73"/>
    </row>
    <row r="1363" spans="1:2" x14ac:dyDescent="0.25">
      <c r="A1363" s="73"/>
      <c r="B1363" s="73"/>
    </row>
    <row r="1364" spans="1:2" x14ac:dyDescent="0.25">
      <c r="A1364" s="73"/>
      <c r="B1364" s="73"/>
    </row>
    <row r="1365" spans="1:2" x14ac:dyDescent="0.25">
      <c r="A1365" s="73"/>
      <c r="B1365" s="73"/>
    </row>
    <row r="1366" spans="1:2" x14ac:dyDescent="0.25">
      <c r="A1366" s="73"/>
      <c r="B1366" s="73"/>
    </row>
    <row r="1367" spans="1:2" x14ac:dyDescent="0.25">
      <c r="A1367" s="73"/>
      <c r="B1367" s="73"/>
    </row>
    <row r="1368" spans="1:2" x14ac:dyDescent="0.25">
      <c r="A1368" s="73"/>
      <c r="B1368" s="73"/>
    </row>
    <row r="1369" spans="1:2" x14ac:dyDescent="0.25">
      <c r="A1369" s="73"/>
      <c r="B1369" s="73"/>
    </row>
    <row r="1370" spans="1:2" x14ac:dyDescent="0.25">
      <c r="A1370" s="73"/>
      <c r="B1370" s="73"/>
    </row>
    <row r="1371" spans="1:2" x14ac:dyDescent="0.25">
      <c r="A1371" s="73"/>
      <c r="B1371" s="73"/>
    </row>
    <row r="1372" spans="1:2" x14ac:dyDescent="0.25">
      <c r="A1372" s="73"/>
      <c r="B1372" s="73"/>
    </row>
    <row r="1373" spans="1:2" x14ac:dyDescent="0.25">
      <c r="A1373" s="73"/>
      <c r="B1373" s="73"/>
    </row>
    <row r="1374" spans="1:2" x14ac:dyDescent="0.25">
      <c r="A1374" s="73"/>
      <c r="B1374" s="73"/>
    </row>
    <row r="1375" spans="1:2" x14ac:dyDescent="0.25">
      <c r="A1375" s="73"/>
      <c r="B1375" s="73"/>
    </row>
    <row r="1376" spans="1:2" x14ac:dyDescent="0.25">
      <c r="A1376" s="73"/>
      <c r="B1376" s="73"/>
    </row>
    <row r="1377" spans="1:2" x14ac:dyDescent="0.25">
      <c r="A1377" s="73"/>
      <c r="B1377" s="73"/>
    </row>
    <row r="1378" spans="1:2" x14ac:dyDescent="0.25">
      <c r="A1378" s="73"/>
      <c r="B1378" s="73"/>
    </row>
    <row r="1379" spans="1:2" x14ac:dyDescent="0.25">
      <c r="A1379" s="73"/>
      <c r="B1379" s="73"/>
    </row>
    <row r="1380" spans="1:2" x14ac:dyDescent="0.25">
      <c r="A1380" s="73"/>
      <c r="B1380" s="73"/>
    </row>
    <row r="1381" spans="1:2" x14ac:dyDescent="0.25">
      <c r="A1381" s="73"/>
      <c r="B1381" s="73"/>
    </row>
    <row r="1382" spans="1:2" x14ac:dyDescent="0.25">
      <c r="A1382" s="73"/>
      <c r="B1382" s="73"/>
    </row>
    <row r="1383" spans="1:2" x14ac:dyDescent="0.25">
      <c r="A1383" s="73"/>
      <c r="B1383" s="73"/>
    </row>
    <row r="1384" spans="1:2" x14ac:dyDescent="0.25">
      <c r="A1384" s="73"/>
      <c r="B1384" s="73"/>
    </row>
    <row r="1385" spans="1:2" x14ac:dyDescent="0.25">
      <c r="A1385" s="73"/>
      <c r="B1385" s="73"/>
    </row>
    <row r="1386" spans="1:2" x14ac:dyDescent="0.25">
      <c r="A1386" s="73"/>
      <c r="B1386" s="73"/>
    </row>
    <row r="1387" spans="1:2" x14ac:dyDescent="0.25">
      <c r="A1387" s="73"/>
      <c r="B1387" s="73"/>
    </row>
    <row r="1388" spans="1:2" x14ac:dyDescent="0.25">
      <c r="A1388" s="73"/>
      <c r="B1388" s="73"/>
    </row>
    <row r="1389" spans="1:2" x14ac:dyDescent="0.25">
      <c r="A1389" s="73"/>
      <c r="B1389" s="73"/>
    </row>
    <row r="1390" spans="1:2" x14ac:dyDescent="0.25">
      <c r="A1390" s="73"/>
      <c r="B1390" s="73"/>
    </row>
    <row r="1391" spans="1:2" x14ac:dyDescent="0.25">
      <c r="A1391" s="73"/>
      <c r="B1391" s="73"/>
    </row>
    <row r="1392" spans="1:2" x14ac:dyDescent="0.25">
      <c r="A1392" s="73"/>
      <c r="B1392" s="73"/>
    </row>
    <row r="1393" spans="1:2" x14ac:dyDescent="0.25">
      <c r="A1393" s="73"/>
      <c r="B1393" s="73"/>
    </row>
    <row r="1394" spans="1:2" x14ac:dyDescent="0.25">
      <c r="A1394" s="73"/>
      <c r="B1394" s="73"/>
    </row>
    <row r="1395" spans="1:2" x14ac:dyDescent="0.25">
      <c r="A1395" s="73"/>
      <c r="B1395" s="73"/>
    </row>
    <row r="1396" spans="1:2" x14ac:dyDescent="0.25">
      <c r="A1396" s="73"/>
      <c r="B1396" s="73"/>
    </row>
    <row r="1397" spans="1:2" x14ac:dyDescent="0.25">
      <c r="A1397" s="73"/>
      <c r="B1397" s="73"/>
    </row>
    <row r="1398" spans="1:2" x14ac:dyDescent="0.25">
      <c r="A1398" s="73"/>
      <c r="B1398" s="73"/>
    </row>
    <row r="1399" spans="1:2" x14ac:dyDescent="0.25">
      <c r="A1399" s="73"/>
      <c r="B1399" s="73"/>
    </row>
    <row r="1400" spans="1:2" x14ac:dyDescent="0.25">
      <c r="A1400" s="73"/>
      <c r="B1400" s="73"/>
    </row>
    <row r="1401" spans="1:2" x14ac:dyDescent="0.25">
      <c r="A1401" s="73"/>
      <c r="B1401" s="73"/>
    </row>
    <row r="1402" spans="1:2" x14ac:dyDescent="0.25">
      <c r="A1402" s="73"/>
      <c r="B1402" s="73"/>
    </row>
    <row r="1403" spans="1:2" x14ac:dyDescent="0.25">
      <c r="A1403" s="73"/>
      <c r="B1403" s="73"/>
    </row>
    <row r="1404" spans="1:2" x14ac:dyDescent="0.25">
      <c r="A1404" s="73"/>
      <c r="B1404" s="73"/>
    </row>
    <row r="1405" spans="1:2" x14ac:dyDescent="0.25">
      <c r="A1405" s="73"/>
      <c r="B1405" s="73"/>
    </row>
    <row r="1406" spans="1:2" x14ac:dyDescent="0.25">
      <c r="A1406" s="73"/>
      <c r="B1406" s="73"/>
    </row>
    <row r="1407" spans="1:2" x14ac:dyDescent="0.25">
      <c r="A1407" s="73"/>
      <c r="B1407" s="73"/>
    </row>
    <row r="1408" spans="1:2" x14ac:dyDescent="0.25">
      <c r="A1408" s="73"/>
      <c r="B1408" s="73"/>
    </row>
    <row r="1409" spans="1:2" x14ac:dyDescent="0.25">
      <c r="A1409" s="73"/>
      <c r="B1409" s="73"/>
    </row>
    <row r="1410" spans="1:2" x14ac:dyDescent="0.25">
      <c r="A1410" s="73"/>
      <c r="B1410" s="73"/>
    </row>
    <row r="1411" spans="1:2" x14ac:dyDescent="0.25">
      <c r="A1411" s="73"/>
      <c r="B1411" s="73"/>
    </row>
    <row r="1412" spans="1:2" x14ac:dyDescent="0.25">
      <c r="A1412" s="73"/>
      <c r="B1412" s="73"/>
    </row>
    <row r="1413" spans="1:2" x14ac:dyDescent="0.25">
      <c r="A1413" s="73"/>
      <c r="B1413" s="73"/>
    </row>
    <row r="1414" spans="1:2" x14ac:dyDescent="0.25">
      <c r="A1414" s="73"/>
      <c r="B1414" s="73"/>
    </row>
    <row r="1415" spans="1:2" x14ac:dyDescent="0.25">
      <c r="A1415" s="73"/>
      <c r="B1415" s="73"/>
    </row>
    <row r="1416" spans="1:2" x14ac:dyDescent="0.25">
      <c r="A1416" s="73"/>
      <c r="B1416" s="73"/>
    </row>
    <row r="1417" spans="1:2" x14ac:dyDescent="0.25">
      <c r="A1417" s="73"/>
      <c r="B1417" s="73"/>
    </row>
    <row r="1418" spans="1:2" x14ac:dyDescent="0.25">
      <c r="A1418" s="73"/>
      <c r="B1418" s="73"/>
    </row>
    <row r="1419" spans="1:2" x14ac:dyDescent="0.25">
      <c r="A1419" s="73"/>
      <c r="B1419" s="73"/>
    </row>
    <row r="1420" spans="1:2" x14ac:dyDescent="0.25">
      <c r="A1420" s="73"/>
      <c r="B1420" s="73"/>
    </row>
    <row r="1421" spans="1:2" x14ac:dyDescent="0.25">
      <c r="A1421" s="73"/>
      <c r="B1421" s="73"/>
    </row>
    <row r="1422" spans="1:2" x14ac:dyDescent="0.25">
      <c r="A1422" s="73"/>
      <c r="B1422" s="73"/>
    </row>
    <row r="1423" spans="1:2" x14ac:dyDescent="0.25">
      <c r="A1423" s="73"/>
      <c r="B1423" s="73"/>
    </row>
    <row r="1424" spans="1:2" x14ac:dyDescent="0.25">
      <c r="A1424" s="73"/>
      <c r="B1424" s="73"/>
    </row>
    <row r="1425" spans="1:2" x14ac:dyDescent="0.25">
      <c r="A1425" s="73"/>
      <c r="B1425" s="73"/>
    </row>
    <row r="1426" spans="1:2" x14ac:dyDescent="0.25">
      <c r="A1426" s="73"/>
      <c r="B1426" s="73"/>
    </row>
    <row r="1427" spans="1:2" x14ac:dyDescent="0.25">
      <c r="A1427" s="73"/>
      <c r="B1427" s="73"/>
    </row>
    <row r="1428" spans="1:2" x14ac:dyDescent="0.25">
      <c r="A1428" s="73"/>
      <c r="B1428" s="73"/>
    </row>
    <row r="1429" spans="1:2" x14ac:dyDescent="0.25">
      <c r="A1429" s="73"/>
      <c r="B1429" s="73"/>
    </row>
    <row r="1430" spans="1:2" x14ac:dyDescent="0.25">
      <c r="A1430" s="73"/>
      <c r="B1430" s="73"/>
    </row>
    <row r="1431" spans="1:2" x14ac:dyDescent="0.25">
      <c r="A1431" s="73"/>
      <c r="B1431" s="73"/>
    </row>
    <row r="1432" spans="1:2" x14ac:dyDescent="0.25">
      <c r="A1432" s="73"/>
      <c r="B1432" s="73"/>
    </row>
    <row r="1433" spans="1:2" x14ac:dyDescent="0.25">
      <c r="A1433" s="73"/>
      <c r="B1433" s="73"/>
    </row>
    <row r="1434" spans="1:2" x14ac:dyDescent="0.25">
      <c r="A1434" s="73"/>
      <c r="B1434" s="73"/>
    </row>
    <row r="1435" spans="1:2" x14ac:dyDescent="0.25">
      <c r="A1435" s="73"/>
      <c r="B1435" s="73"/>
    </row>
    <row r="1436" spans="1:2" x14ac:dyDescent="0.25">
      <c r="A1436" s="73"/>
      <c r="B1436" s="73"/>
    </row>
    <row r="1437" spans="1:2" x14ac:dyDescent="0.25">
      <c r="A1437" s="73"/>
      <c r="B1437" s="73"/>
    </row>
    <row r="1438" spans="1:2" x14ac:dyDescent="0.25">
      <c r="A1438" s="73"/>
      <c r="B1438" s="73"/>
    </row>
    <row r="1439" spans="1:2" x14ac:dyDescent="0.25">
      <c r="A1439" s="73"/>
      <c r="B1439" s="73"/>
    </row>
    <row r="1440" spans="1:2" x14ac:dyDescent="0.25">
      <c r="A1440" s="73"/>
      <c r="B1440" s="73"/>
    </row>
    <row r="1441" spans="1:2" x14ac:dyDescent="0.25">
      <c r="A1441" s="73"/>
      <c r="B1441" s="73"/>
    </row>
    <row r="1442" spans="1:2" x14ac:dyDescent="0.25">
      <c r="A1442" s="73"/>
      <c r="B1442" s="73"/>
    </row>
    <row r="1443" spans="1:2" x14ac:dyDescent="0.25">
      <c r="A1443" s="73"/>
      <c r="B1443" s="73"/>
    </row>
    <row r="1444" spans="1:2" x14ac:dyDescent="0.25">
      <c r="A1444" s="73"/>
      <c r="B1444" s="73"/>
    </row>
    <row r="1445" spans="1:2" x14ac:dyDescent="0.25">
      <c r="A1445" s="73"/>
      <c r="B1445" s="73"/>
    </row>
    <row r="1446" spans="1:2" x14ac:dyDescent="0.25">
      <c r="A1446" s="73"/>
      <c r="B1446" s="73"/>
    </row>
    <row r="1447" spans="1:2" x14ac:dyDescent="0.25">
      <c r="A1447" s="73"/>
      <c r="B1447" s="73"/>
    </row>
    <row r="1448" spans="1:2" x14ac:dyDescent="0.25">
      <c r="A1448" s="73"/>
      <c r="B1448" s="73"/>
    </row>
    <row r="1449" spans="1:2" x14ac:dyDescent="0.25">
      <c r="A1449" s="73"/>
      <c r="B1449" s="73"/>
    </row>
    <row r="1450" spans="1:2" x14ac:dyDescent="0.25">
      <c r="A1450" s="73"/>
      <c r="B1450" s="73"/>
    </row>
    <row r="1451" spans="1:2" x14ac:dyDescent="0.25">
      <c r="A1451" s="73"/>
      <c r="B1451" s="73"/>
    </row>
    <row r="1452" spans="1:2" x14ac:dyDescent="0.25">
      <c r="A1452" s="73"/>
      <c r="B1452" s="73"/>
    </row>
    <row r="1453" spans="1:2" x14ac:dyDescent="0.25">
      <c r="A1453" s="73"/>
      <c r="B1453" s="73"/>
    </row>
    <row r="1454" spans="1:2" x14ac:dyDescent="0.25">
      <c r="A1454" s="73"/>
      <c r="B1454" s="73"/>
    </row>
    <row r="1455" spans="1:2" x14ac:dyDescent="0.25">
      <c r="A1455" s="73"/>
      <c r="B1455" s="73"/>
    </row>
    <row r="1456" spans="1:2" x14ac:dyDescent="0.25">
      <c r="A1456" s="73"/>
      <c r="B1456" s="73"/>
    </row>
    <row r="1457" spans="1:2" x14ac:dyDescent="0.25">
      <c r="A1457" s="73"/>
      <c r="B1457" s="73"/>
    </row>
    <row r="1458" spans="1:2" x14ac:dyDescent="0.25">
      <c r="A1458" s="73"/>
      <c r="B1458" s="73"/>
    </row>
    <row r="1459" spans="1:2" x14ac:dyDescent="0.25">
      <c r="A1459" s="73"/>
      <c r="B1459" s="73"/>
    </row>
    <row r="1460" spans="1:2" x14ac:dyDescent="0.25">
      <c r="A1460" s="73"/>
      <c r="B1460" s="73"/>
    </row>
    <row r="1461" spans="1:2" x14ac:dyDescent="0.25">
      <c r="A1461" s="73"/>
      <c r="B1461" s="73"/>
    </row>
    <row r="1462" spans="1:2" x14ac:dyDescent="0.25">
      <c r="A1462" s="73"/>
      <c r="B1462" s="73"/>
    </row>
    <row r="1463" spans="1:2" x14ac:dyDescent="0.25">
      <c r="A1463" s="73"/>
      <c r="B1463" s="73"/>
    </row>
    <row r="1464" spans="1:2" x14ac:dyDescent="0.25">
      <c r="A1464" s="73"/>
      <c r="B1464" s="73"/>
    </row>
    <row r="1465" spans="1:2" x14ac:dyDescent="0.25">
      <c r="A1465" s="73"/>
      <c r="B1465" s="73"/>
    </row>
    <row r="1466" spans="1:2" x14ac:dyDescent="0.25">
      <c r="A1466" s="73"/>
      <c r="B1466" s="73"/>
    </row>
    <row r="1467" spans="1:2" x14ac:dyDescent="0.25">
      <c r="A1467" s="73"/>
      <c r="B1467" s="73"/>
    </row>
    <row r="1468" spans="1:2" x14ac:dyDescent="0.25">
      <c r="A1468" s="73"/>
      <c r="B1468" s="73"/>
    </row>
    <row r="1469" spans="1:2" x14ac:dyDescent="0.25">
      <c r="A1469" s="73"/>
      <c r="B1469" s="73"/>
    </row>
    <row r="1470" spans="1:2" x14ac:dyDescent="0.25">
      <c r="A1470" s="73"/>
      <c r="B1470" s="73"/>
    </row>
    <row r="1471" spans="1:2" x14ac:dyDescent="0.25">
      <c r="A1471" s="73"/>
      <c r="B1471" s="73"/>
    </row>
    <row r="1472" spans="1:2" x14ac:dyDescent="0.25">
      <c r="A1472" s="73"/>
      <c r="B1472" s="73"/>
    </row>
    <row r="1473" spans="1:2" x14ac:dyDescent="0.25">
      <c r="A1473" s="73"/>
      <c r="B1473" s="73"/>
    </row>
    <row r="1474" spans="1:2" x14ac:dyDescent="0.25">
      <c r="A1474" s="73"/>
      <c r="B1474" s="73"/>
    </row>
    <row r="1475" spans="1:2" x14ac:dyDescent="0.25">
      <c r="A1475" s="73"/>
      <c r="B1475" s="73"/>
    </row>
    <row r="1476" spans="1:2" x14ac:dyDescent="0.25">
      <c r="A1476" s="73"/>
      <c r="B1476" s="73"/>
    </row>
    <row r="1477" spans="1:2" x14ac:dyDescent="0.25">
      <c r="A1477" s="73"/>
      <c r="B1477" s="73"/>
    </row>
    <row r="1478" spans="1:2" x14ac:dyDescent="0.25">
      <c r="A1478" s="73"/>
      <c r="B1478" s="73"/>
    </row>
    <row r="1479" spans="1:2" x14ac:dyDescent="0.25">
      <c r="A1479" s="73"/>
      <c r="B1479" s="73"/>
    </row>
    <row r="1480" spans="1:2" x14ac:dyDescent="0.25">
      <c r="A1480" s="73"/>
      <c r="B1480" s="73"/>
    </row>
    <row r="1481" spans="1:2" x14ac:dyDescent="0.25">
      <c r="A1481" s="73"/>
      <c r="B1481" s="73"/>
    </row>
    <row r="1482" spans="1:2" x14ac:dyDescent="0.25">
      <c r="A1482" s="73"/>
      <c r="B1482" s="73"/>
    </row>
    <row r="1483" spans="1:2" x14ac:dyDescent="0.25">
      <c r="A1483" s="73"/>
      <c r="B1483" s="73"/>
    </row>
    <row r="1484" spans="1:2" x14ac:dyDescent="0.25">
      <c r="A1484" s="73"/>
      <c r="B1484" s="73"/>
    </row>
    <row r="1485" spans="1:2" x14ac:dyDescent="0.25">
      <c r="A1485" s="73"/>
      <c r="B1485" s="73"/>
    </row>
    <row r="1486" spans="1:2" x14ac:dyDescent="0.25">
      <c r="A1486" s="73"/>
      <c r="B1486" s="73"/>
    </row>
    <row r="1487" spans="1:2" x14ac:dyDescent="0.25">
      <c r="A1487" s="73"/>
      <c r="B1487" s="73"/>
    </row>
    <row r="1488" spans="1:2" x14ac:dyDescent="0.25">
      <c r="A1488" s="73"/>
      <c r="B1488" s="73"/>
    </row>
    <row r="1489" spans="1:2" x14ac:dyDescent="0.25">
      <c r="A1489" s="73"/>
      <c r="B1489" s="73"/>
    </row>
    <row r="1490" spans="1:2" x14ac:dyDescent="0.25">
      <c r="A1490" s="73"/>
      <c r="B1490" s="73"/>
    </row>
    <row r="1491" spans="1:2" x14ac:dyDescent="0.25">
      <c r="A1491" s="73"/>
      <c r="B1491" s="73"/>
    </row>
    <row r="1492" spans="1:2" x14ac:dyDescent="0.25">
      <c r="A1492" s="73"/>
      <c r="B1492" s="73"/>
    </row>
    <row r="1493" spans="1:2" x14ac:dyDescent="0.25">
      <c r="A1493" s="73"/>
      <c r="B1493" s="73"/>
    </row>
    <row r="1494" spans="1:2" x14ac:dyDescent="0.25">
      <c r="A1494" s="73"/>
      <c r="B1494" s="73"/>
    </row>
    <row r="1495" spans="1:2" x14ac:dyDescent="0.25">
      <c r="A1495" s="73"/>
      <c r="B1495" s="73"/>
    </row>
    <row r="1496" spans="1:2" x14ac:dyDescent="0.25">
      <c r="A1496" s="73"/>
      <c r="B1496" s="73"/>
    </row>
    <row r="1497" spans="1:2" x14ac:dyDescent="0.25">
      <c r="A1497" s="73"/>
      <c r="B1497" s="73"/>
    </row>
    <row r="1498" spans="1:2" x14ac:dyDescent="0.25">
      <c r="A1498" s="73"/>
      <c r="B1498" s="73"/>
    </row>
    <row r="1499" spans="1:2" x14ac:dyDescent="0.25">
      <c r="A1499" s="73"/>
      <c r="B1499" s="73"/>
    </row>
    <row r="1500" spans="1:2" x14ac:dyDescent="0.25">
      <c r="A1500" s="73"/>
      <c r="B1500" s="73"/>
    </row>
    <row r="1501" spans="1:2" x14ac:dyDescent="0.25">
      <c r="A1501" s="73"/>
      <c r="B1501" s="73"/>
    </row>
    <row r="1502" spans="1:2" x14ac:dyDescent="0.25">
      <c r="A1502" s="73"/>
      <c r="B1502" s="73"/>
    </row>
    <row r="1503" spans="1:2" x14ac:dyDescent="0.25">
      <c r="A1503" s="73"/>
      <c r="B1503" s="73"/>
    </row>
    <row r="1504" spans="1:2" x14ac:dyDescent="0.25">
      <c r="A1504" s="73"/>
      <c r="B1504" s="73"/>
    </row>
    <row r="1505" spans="1:2" x14ac:dyDescent="0.25">
      <c r="A1505" s="73"/>
      <c r="B1505" s="73"/>
    </row>
    <row r="1506" spans="1:2" x14ac:dyDescent="0.25">
      <c r="A1506" s="73"/>
      <c r="B1506" s="73"/>
    </row>
    <row r="1507" spans="1:2" x14ac:dyDescent="0.25">
      <c r="A1507" s="73"/>
      <c r="B1507" s="73"/>
    </row>
    <row r="1508" spans="1:2" x14ac:dyDescent="0.25">
      <c r="A1508" s="73"/>
      <c r="B1508" s="73"/>
    </row>
    <row r="1509" spans="1:2" x14ac:dyDescent="0.25">
      <c r="A1509" s="73"/>
      <c r="B1509" s="73"/>
    </row>
    <row r="1510" spans="1:2" x14ac:dyDescent="0.25">
      <c r="A1510" s="73"/>
      <c r="B1510" s="73"/>
    </row>
    <row r="1511" spans="1:2" x14ac:dyDescent="0.25">
      <c r="A1511" s="73"/>
      <c r="B1511" s="73"/>
    </row>
    <row r="1512" spans="1:2" x14ac:dyDescent="0.25">
      <c r="A1512" s="73"/>
      <c r="B1512" s="73"/>
    </row>
    <row r="1513" spans="1:2" x14ac:dyDescent="0.25">
      <c r="A1513" s="73"/>
      <c r="B1513" s="73"/>
    </row>
    <row r="1514" spans="1:2" x14ac:dyDescent="0.25">
      <c r="A1514" s="73"/>
      <c r="B1514" s="73"/>
    </row>
    <row r="1515" spans="1:2" x14ac:dyDescent="0.25">
      <c r="A1515" s="73"/>
      <c r="B1515" s="73"/>
    </row>
    <row r="1516" spans="1:2" x14ac:dyDescent="0.25">
      <c r="A1516" s="73"/>
      <c r="B1516" s="73"/>
    </row>
    <row r="1517" spans="1:2" x14ac:dyDescent="0.25">
      <c r="A1517" s="73"/>
      <c r="B1517" s="73"/>
    </row>
    <row r="1518" spans="1:2" x14ac:dyDescent="0.25">
      <c r="A1518" s="73"/>
      <c r="B1518" s="73"/>
    </row>
    <row r="1519" spans="1:2" x14ac:dyDescent="0.25">
      <c r="A1519" s="73"/>
      <c r="B1519" s="73"/>
    </row>
    <row r="1520" spans="1:2" x14ac:dyDescent="0.25">
      <c r="A1520" s="73"/>
      <c r="B1520" s="73"/>
    </row>
    <row r="1521" spans="1:2" x14ac:dyDescent="0.25">
      <c r="A1521" s="73"/>
      <c r="B1521" s="73"/>
    </row>
    <row r="1522" spans="1:2" x14ac:dyDescent="0.25">
      <c r="A1522" s="73"/>
      <c r="B1522" s="73"/>
    </row>
    <row r="1523" spans="1:2" x14ac:dyDescent="0.25">
      <c r="A1523" s="73"/>
      <c r="B1523" s="73"/>
    </row>
    <row r="1524" spans="1:2" x14ac:dyDescent="0.25">
      <c r="A1524" s="73"/>
      <c r="B1524" s="73"/>
    </row>
    <row r="1525" spans="1:2" x14ac:dyDescent="0.25">
      <c r="A1525" s="73"/>
      <c r="B1525" s="73"/>
    </row>
    <row r="1526" spans="1:2" x14ac:dyDescent="0.25">
      <c r="A1526" s="73"/>
      <c r="B1526" s="73"/>
    </row>
    <row r="1527" spans="1:2" x14ac:dyDescent="0.25">
      <c r="A1527" s="73"/>
      <c r="B1527" s="73"/>
    </row>
    <row r="1528" spans="1:2" x14ac:dyDescent="0.25">
      <c r="A1528" s="73"/>
      <c r="B1528" s="73"/>
    </row>
    <row r="1529" spans="1:2" x14ac:dyDescent="0.25">
      <c r="A1529" s="73"/>
      <c r="B1529" s="73"/>
    </row>
    <row r="1530" spans="1:2" x14ac:dyDescent="0.25">
      <c r="A1530" s="73"/>
      <c r="B1530" s="73"/>
    </row>
    <row r="1531" spans="1:2" x14ac:dyDescent="0.25">
      <c r="A1531" s="73"/>
      <c r="B1531" s="73"/>
    </row>
    <row r="1532" spans="1:2" x14ac:dyDescent="0.25">
      <c r="A1532" s="73"/>
      <c r="B1532" s="73"/>
    </row>
    <row r="1533" spans="1:2" x14ac:dyDescent="0.25">
      <c r="A1533" s="73"/>
      <c r="B1533" s="73"/>
    </row>
    <row r="1534" spans="1:2" x14ac:dyDescent="0.25">
      <c r="A1534" s="73"/>
      <c r="B1534" s="73"/>
    </row>
    <row r="1535" spans="1:2" x14ac:dyDescent="0.25">
      <c r="A1535" s="73"/>
      <c r="B1535" s="73"/>
    </row>
    <row r="1536" spans="1:2" x14ac:dyDescent="0.25">
      <c r="A1536" s="73"/>
      <c r="B1536" s="73"/>
    </row>
    <row r="1537" spans="1:2" x14ac:dyDescent="0.25">
      <c r="A1537" s="73"/>
      <c r="B1537" s="73"/>
    </row>
    <row r="1538" spans="1:2" x14ac:dyDescent="0.25">
      <c r="A1538" s="73"/>
      <c r="B1538" s="73"/>
    </row>
    <row r="1539" spans="1:2" x14ac:dyDescent="0.25">
      <c r="A1539" s="73"/>
      <c r="B1539" s="73"/>
    </row>
    <row r="1540" spans="1:2" x14ac:dyDescent="0.25">
      <c r="A1540" s="73"/>
      <c r="B1540" s="73"/>
    </row>
    <row r="1541" spans="1:2" x14ac:dyDescent="0.25">
      <c r="A1541" s="73"/>
      <c r="B1541" s="73"/>
    </row>
    <row r="1542" spans="1:2" x14ac:dyDescent="0.25">
      <c r="A1542" s="73"/>
      <c r="B1542" s="73"/>
    </row>
    <row r="1543" spans="1:2" x14ac:dyDescent="0.25">
      <c r="A1543" s="73"/>
      <c r="B1543" s="73"/>
    </row>
    <row r="1544" spans="1:2" x14ac:dyDescent="0.25">
      <c r="A1544" s="73"/>
      <c r="B1544" s="73"/>
    </row>
    <row r="1545" spans="1:2" x14ac:dyDescent="0.25">
      <c r="A1545" s="73"/>
      <c r="B1545" s="73"/>
    </row>
    <row r="1546" spans="1:2" x14ac:dyDescent="0.25">
      <c r="A1546" s="73"/>
      <c r="B1546" s="73"/>
    </row>
    <row r="1547" spans="1:2" x14ac:dyDescent="0.25">
      <c r="A1547" s="73"/>
      <c r="B1547" s="73"/>
    </row>
    <row r="1548" spans="1:2" x14ac:dyDescent="0.25">
      <c r="A1548" s="73"/>
      <c r="B1548" s="73"/>
    </row>
    <row r="1549" spans="1:2" x14ac:dyDescent="0.25">
      <c r="A1549" s="73"/>
      <c r="B1549" s="73"/>
    </row>
    <row r="1550" spans="1:2" x14ac:dyDescent="0.25">
      <c r="A1550" s="73"/>
      <c r="B1550" s="73"/>
    </row>
    <row r="1551" spans="1:2" x14ac:dyDescent="0.25">
      <c r="A1551" s="73"/>
      <c r="B1551" s="73"/>
    </row>
    <row r="1552" spans="1:2" x14ac:dyDescent="0.25">
      <c r="A1552" s="73"/>
      <c r="B1552" s="73"/>
    </row>
    <row r="1553" spans="1:2" x14ac:dyDescent="0.25">
      <c r="A1553" s="73"/>
      <c r="B1553" s="73"/>
    </row>
    <row r="1554" spans="1:2" x14ac:dyDescent="0.25">
      <c r="A1554" s="73"/>
      <c r="B1554" s="73"/>
    </row>
    <row r="1555" spans="1:2" x14ac:dyDescent="0.25">
      <c r="A1555" s="73"/>
      <c r="B1555" s="73"/>
    </row>
    <row r="1556" spans="1:2" x14ac:dyDescent="0.25">
      <c r="A1556" s="73"/>
      <c r="B1556" s="73"/>
    </row>
    <row r="1557" spans="1:2" x14ac:dyDescent="0.25">
      <c r="A1557" s="73"/>
      <c r="B1557" s="73"/>
    </row>
    <row r="1558" spans="1:2" x14ac:dyDescent="0.25">
      <c r="A1558" s="73"/>
      <c r="B1558" s="73"/>
    </row>
    <row r="1559" spans="1:2" x14ac:dyDescent="0.25">
      <c r="A1559" s="73"/>
      <c r="B1559" s="73"/>
    </row>
    <row r="1560" spans="1:2" x14ac:dyDescent="0.25">
      <c r="A1560" s="73"/>
      <c r="B1560" s="73"/>
    </row>
    <row r="1561" spans="1:2" x14ac:dyDescent="0.25">
      <c r="A1561" s="73"/>
      <c r="B1561" s="73"/>
    </row>
    <row r="1562" spans="1:2" x14ac:dyDescent="0.25">
      <c r="A1562" s="73"/>
      <c r="B1562" s="73"/>
    </row>
    <row r="1563" spans="1:2" x14ac:dyDescent="0.25">
      <c r="A1563" s="73"/>
      <c r="B1563" s="73"/>
    </row>
    <row r="1564" spans="1:2" x14ac:dyDescent="0.25">
      <c r="A1564" s="73"/>
      <c r="B1564" s="73"/>
    </row>
    <row r="1565" spans="1:2" x14ac:dyDescent="0.25">
      <c r="A1565" s="73"/>
      <c r="B1565" s="73"/>
    </row>
    <row r="1566" spans="1:2" x14ac:dyDescent="0.25">
      <c r="A1566" s="73"/>
      <c r="B1566" s="73"/>
    </row>
    <row r="1567" spans="1:2" x14ac:dyDescent="0.25">
      <c r="A1567" s="73"/>
      <c r="B1567" s="73"/>
    </row>
    <row r="1568" spans="1:2" x14ac:dyDescent="0.25">
      <c r="A1568" s="73"/>
      <c r="B1568" s="73"/>
    </row>
    <row r="1569" spans="1:2" x14ac:dyDescent="0.25">
      <c r="A1569" s="73"/>
      <c r="B1569" s="73"/>
    </row>
    <row r="1570" spans="1:2" x14ac:dyDescent="0.25">
      <c r="A1570" s="73"/>
      <c r="B1570" s="73"/>
    </row>
    <row r="1571" spans="1:2" x14ac:dyDescent="0.25">
      <c r="A1571" s="73"/>
      <c r="B1571" s="73"/>
    </row>
    <row r="1572" spans="1:2" x14ac:dyDescent="0.25">
      <c r="A1572" s="73"/>
      <c r="B1572" s="73"/>
    </row>
    <row r="1573" spans="1:2" x14ac:dyDescent="0.25">
      <c r="A1573" s="73"/>
      <c r="B1573" s="73"/>
    </row>
    <row r="1574" spans="1:2" x14ac:dyDescent="0.25">
      <c r="A1574" s="73"/>
      <c r="B1574" s="73"/>
    </row>
    <row r="1575" spans="1:2" x14ac:dyDescent="0.25">
      <c r="A1575" s="73"/>
      <c r="B1575" s="73"/>
    </row>
    <row r="1576" spans="1:2" x14ac:dyDescent="0.25">
      <c r="A1576" s="73"/>
      <c r="B1576" s="73"/>
    </row>
    <row r="1577" spans="1:2" x14ac:dyDescent="0.25">
      <c r="A1577" s="73"/>
      <c r="B1577" s="73"/>
    </row>
    <row r="1578" spans="1:2" x14ac:dyDescent="0.25">
      <c r="A1578" s="73"/>
      <c r="B1578" s="73"/>
    </row>
    <row r="1579" spans="1:2" x14ac:dyDescent="0.25">
      <c r="A1579" s="73"/>
      <c r="B1579" s="73"/>
    </row>
    <row r="1580" spans="1:2" x14ac:dyDescent="0.25">
      <c r="A1580" s="73"/>
      <c r="B1580" s="73"/>
    </row>
    <row r="1581" spans="1:2" x14ac:dyDescent="0.25">
      <c r="A1581" s="73"/>
      <c r="B1581" s="73"/>
    </row>
    <row r="1582" spans="1:2" x14ac:dyDescent="0.25">
      <c r="A1582" s="73"/>
      <c r="B1582" s="73"/>
    </row>
    <row r="1583" spans="1:2" x14ac:dyDescent="0.25">
      <c r="A1583" s="73"/>
      <c r="B1583" s="73"/>
    </row>
    <row r="1584" spans="1:2" x14ac:dyDescent="0.25">
      <c r="A1584" s="73"/>
      <c r="B1584" s="73"/>
    </row>
    <row r="1585" spans="1:2" x14ac:dyDescent="0.25">
      <c r="A1585" s="73"/>
      <c r="B1585" s="73"/>
    </row>
    <row r="1586" spans="1:2" x14ac:dyDescent="0.25">
      <c r="A1586" s="73"/>
      <c r="B1586" s="73"/>
    </row>
    <row r="1587" spans="1:2" x14ac:dyDescent="0.25">
      <c r="A1587" s="73"/>
      <c r="B1587" s="73"/>
    </row>
    <row r="1588" spans="1:2" x14ac:dyDescent="0.25">
      <c r="A1588" s="73"/>
      <c r="B1588" s="73"/>
    </row>
    <row r="1589" spans="1:2" x14ac:dyDescent="0.25">
      <c r="A1589" s="73"/>
      <c r="B1589" s="73"/>
    </row>
    <row r="1590" spans="1:2" x14ac:dyDescent="0.25">
      <c r="A1590" s="73"/>
      <c r="B1590" s="73"/>
    </row>
    <row r="1591" spans="1:2" x14ac:dyDescent="0.25">
      <c r="A1591" s="73"/>
      <c r="B1591" s="73"/>
    </row>
    <row r="1592" spans="1:2" x14ac:dyDescent="0.25">
      <c r="A1592" s="73"/>
      <c r="B1592" s="73"/>
    </row>
    <row r="1593" spans="1:2" x14ac:dyDescent="0.25">
      <c r="A1593" s="73"/>
      <c r="B1593" s="73"/>
    </row>
    <row r="1594" spans="1:2" x14ac:dyDescent="0.25">
      <c r="A1594" s="73"/>
      <c r="B1594" s="73"/>
    </row>
    <row r="1595" spans="1:2" x14ac:dyDescent="0.25">
      <c r="A1595" s="73"/>
      <c r="B1595" s="73"/>
    </row>
    <row r="1596" spans="1:2" x14ac:dyDescent="0.25">
      <c r="A1596" s="73"/>
      <c r="B1596" s="73"/>
    </row>
    <row r="1597" spans="1:2" x14ac:dyDescent="0.25">
      <c r="A1597" s="73"/>
      <c r="B1597" s="73"/>
    </row>
    <row r="1598" spans="1:2" x14ac:dyDescent="0.25">
      <c r="A1598" s="73"/>
      <c r="B1598" s="73"/>
    </row>
    <row r="1599" spans="1:2" x14ac:dyDescent="0.25">
      <c r="A1599" s="73"/>
      <c r="B1599" s="73"/>
    </row>
    <row r="1600" spans="1:2" x14ac:dyDescent="0.25">
      <c r="A1600" s="73"/>
      <c r="B1600" s="73"/>
    </row>
    <row r="1601" spans="1:2" x14ac:dyDescent="0.25">
      <c r="A1601" s="73"/>
      <c r="B1601" s="73"/>
    </row>
    <row r="1602" spans="1:2" x14ac:dyDescent="0.25">
      <c r="A1602" s="73"/>
      <c r="B1602" s="73"/>
    </row>
    <row r="1603" spans="1:2" x14ac:dyDescent="0.25">
      <c r="A1603" s="73"/>
      <c r="B1603" s="73"/>
    </row>
    <row r="1604" spans="1:2" x14ac:dyDescent="0.25">
      <c r="A1604" s="73"/>
      <c r="B1604" s="73"/>
    </row>
    <row r="1605" spans="1:2" x14ac:dyDescent="0.25">
      <c r="A1605" s="73"/>
      <c r="B1605" s="73"/>
    </row>
    <row r="1606" spans="1:2" x14ac:dyDescent="0.25">
      <c r="A1606" s="73"/>
      <c r="B1606" s="73"/>
    </row>
    <row r="1607" spans="1:2" x14ac:dyDescent="0.25">
      <c r="A1607" s="73"/>
      <c r="B1607" s="73"/>
    </row>
    <row r="1608" spans="1:2" x14ac:dyDescent="0.25">
      <c r="A1608" s="73"/>
      <c r="B1608" s="73"/>
    </row>
    <row r="1609" spans="1:2" x14ac:dyDescent="0.25">
      <c r="A1609" s="73"/>
      <c r="B1609" s="73"/>
    </row>
    <row r="1610" spans="1:2" x14ac:dyDescent="0.25">
      <c r="A1610" s="73"/>
      <c r="B1610" s="73"/>
    </row>
    <row r="1611" spans="1:2" x14ac:dyDescent="0.25">
      <c r="A1611" s="73"/>
      <c r="B1611" s="73"/>
    </row>
    <row r="1612" spans="1:2" x14ac:dyDescent="0.25">
      <c r="A1612" s="73"/>
      <c r="B1612" s="73"/>
    </row>
    <row r="1613" spans="1:2" x14ac:dyDescent="0.25">
      <c r="A1613" s="73"/>
      <c r="B1613" s="73"/>
    </row>
    <row r="1614" spans="1:2" x14ac:dyDescent="0.25">
      <c r="A1614" s="73"/>
      <c r="B1614" s="73"/>
    </row>
    <row r="1615" spans="1:2" x14ac:dyDescent="0.25">
      <c r="A1615" s="73"/>
      <c r="B1615" s="73"/>
    </row>
    <row r="1616" spans="1:2" x14ac:dyDescent="0.25">
      <c r="A1616" s="73"/>
      <c r="B1616" s="73"/>
    </row>
    <row r="1617" spans="1:2" x14ac:dyDescent="0.25">
      <c r="A1617" s="73"/>
      <c r="B1617" s="73"/>
    </row>
    <row r="1618" spans="1:2" x14ac:dyDescent="0.25">
      <c r="A1618" s="73"/>
      <c r="B1618" s="73"/>
    </row>
    <row r="1619" spans="1:2" x14ac:dyDescent="0.25">
      <c r="A1619" s="73"/>
      <c r="B1619" s="73"/>
    </row>
    <row r="1620" spans="1:2" x14ac:dyDescent="0.25">
      <c r="A1620" s="73"/>
      <c r="B1620" s="73"/>
    </row>
    <row r="1621" spans="1:2" x14ac:dyDescent="0.25">
      <c r="A1621" s="73"/>
      <c r="B1621" s="73"/>
    </row>
    <row r="1622" spans="1:2" x14ac:dyDescent="0.25">
      <c r="A1622" s="73"/>
      <c r="B1622" s="73"/>
    </row>
    <row r="1623" spans="1:2" x14ac:dyDescent="0.25">
      <c r="A1623" s="73"/>
      <c r="B1623" s="73"/>
    </row>
    <row r="1624" spans="1:2" x14ac:dyDescent="0.25">
      <c r="A1624" s="73"/>
      <c r="B1624" s="73"/>
    </row>
    <row r="1625" spans="1:2" x14ac:dyDescent="0.25">
      <c r="A1625" s="73"/>
      <c r="B1625" s="73"/>
    </row>
    <row r="1626" spans="1:2" x14ac:dyDescent="0.25">
      <c r="A1626" s="73"/>
      <c r="B1626" s="73"/>
    </row>
    <row r="1627" spans="1:2" x14ac:dyDescent="0.25">
      <c r="A1627" s="73"/>
      <c r="B1627" s="73"/>
    </row>
    <row r="1628" spans="1:2" x14ac:dyDescent="0.25">
      <c r="A1628" s="73"/>
      <c r="B1628" s="73"/>
    </row>
    <row r="1629" spans="1:2" x14ac:dyDescent="0.25">
      <c r="A1629" s="73"/>
      <c r="B1629" s="73"/>
    </row>
    <row r="1630" spans="1:2" x14ac:dyDescent="0.25">
      <c r="A1630" s="73"/>
      <c r="B1630" s="73"/>
    </row>
    <row r="1631" spans="1:2" x14ac:dyDescent="0.25">
      <c r="A1631" s="73"/>
      <c r="B1631" s="73"/>
    </row>
    <row r="1632" spans="1:2" x14ac:dyDescent="0.25">
      <c r="A1632" s="73"/>
      <c r="B1632" s="73"/>
    </row>
    <row r="1633" spans="1:2" x14ac:dyDescent="0.25">
      <c r="A1633" s="73"/>
      <c r="B1633" s="73"/>
    </row>
    <row r="1634" spans="1:2" x14ac:dyDescent="0.25">
      <c r="A1634" s="73"/>
      <c r="B1634" s="73"/>
    </row>
    <row r="1635" spans="1:2" x14ac:dyDescent="0.25">
      <c r="A1635" s="73"/>
      <c r="B1635" s="73"/>
    </row>
    <row r="1636" spans="1:2" x14ac:dyDescent="0.25">
      <c r="A1636" s="73"/>
      <c r="B1636" s="73"/>
    </row>
    <row r="1637" spans="1:2" x14ac:dyDescent="0.25">
      <c r="A1637" s="73"/>
      <c r="B1637" s="73"/>
    </row>
    <row r="1638" spans="1:2" x14ac:dyDescent="0.25">
      <c r="A1638" s="73"/>
      <c r="B1638" s="73"/>
    </row>
    <row r="1639" spans="1:2" x14ac:dyDescent="0.25">
      <c r="A1639" s="73"/>
      <c r="B1639" s="73"/>
    </row>
    <row r="1640" spans="1:2" x14ac:dyDescent="0.25">
      <c r="A1640" s="73"/>
      <c r="B1640" s="73"/>
    </row>
    <row r="1641" spans="1:2" x14ac:dyDescent="0.25">
      <c r="A1641" s="73"/>
      <c r="B1641" s="73"/>
    </row>
    <row r="1642" spans="1:2" x14ac:dyDescent="0.25">
      <c r="A1642" s="73"/>
      <c r="B1642" s="73"/>
    </row>
    <row r="1643" spans="1:2" x14ac:dyDescent="0.25">
      <c r="A1643" s="73"/>
      <c r="B1643" s="73"/>
    </row>
    <row r="1644" spans="1:2" x14ac:dyDescent="0.25">
      <c r="A1644" s="73"/>
      <c r="B1644" s="73"/>
    </row>
    <row r="1645" spans="1:2" x14ac:dyDescent="0.25">
      <c r="A1645" s="73"/>
      <c r="B1645" s="73"/>
    </row>
    <row r="1646" spans="1:2" x14ac:dyDescent="0.25">
      <c r="A1646" s="73"/>
      <c r="B1646" s="73"/>
    </row>
    <row r="1647" spans="1:2" x14ac:dyDescent="0.25">
      <c r="A1647" s="73"/>
      <c r="B1647" s="73"/>
    </row>
    <row r="1648" spans="1:2" x14ac:dyDescent="0.25">
      <c r="A1648" s="73"/>
      <c r="B1648" s="73"/>
    </row>
    <row r="1649" spans="1:2" x14ac:dyDescent="0.25">
      <c r="A1649" s="73"/>
      <c r="B1649" s="73"/>
    </row>
    <row r="1650" spans="1:2" x14ac:dyDescent="0.25">
      <c r="A1650" s="73"/>
      <c r="B1650" s="73"/>
    </row>
    <row r="1651" spans="1:2" x14ac:dyDescent="0.25">
      <c r="A1651" s="73"/>
      <c r="B1651" s="73"/>
    </row>
    <row r="1652" spans="1:2" x14ac:dyDescent="0.25">
      <c r="A1652" s="73"/>
      <c r="B1652" s="73"/>
    </row>
    <row r="1653" spans="1:2" x14ac:dyDescent="0.25">
      <c r="A1653" s="73"/>
      <c r="B1653" s="73"/>
    </row>
    <row r="1654" spans="1:2" x14ac:dyDescent="0.25">
      <c r="A1654" s="73"/>
      <c r="B1654" s="73"/>
    </row>
    <row r="1655" spans="1:2" x14ac:dyDescent="0.25">
      <c r="A1655" s="73"/>
      <c r="B1655" s="73"/>
    </row>
    <row r="1656" spans="1:2" x14ac:dyDescent="0.25">
      <c r="A1656" s="73"/>
      <c r="B1656" s="73"/>
    </row>
    <row r="1657" spans="1:2" x14ac:dyDescent="0.25">
      <c r="A1657" s="73"/>
      <c r="B1657" s="73"/>
    </row>
    <row r="1658" spans="1:2" x14ac:dyDescent="0.25">
      <c r="A1658" s="73"/>
      <c r="B1658" s="73"/>
    </row>
    <row r="1659" spans="1:2" x14ac:dyDescent="0.25">
      <c r="A1659" s="73"/>
      <c r="B1659" s="73"/>
    </row>
    <row r="1660" spans="1:2" x14ac:dyDescent="0.25">
      <c r="A1660" s="73"/>
      <c r="B1660" s="73"/>
    </row>
    <row r="1661" spans="1:2" x14ac:dyDescent="0.25">
      <c r="A1661" s="73"/>
      <c r="B1661" s="73"/>
    </row>
    <row r="1662" spans="1:2" x14ac:dyDescent="0.25">
      <c r="A1662" s="73"/>
      <c r="B1662" s="73"/>
    </row>
    <row r="1663" spans="1:2" x14ac:dyDescent="0.25">
      <c r="A1663" s="73"/>
      <c r="B1663" s="73"/>
    </row>
    <row r="1664" spans="1:2" x14ac:dyDescent="0.25">
      <c r="A1664" s="73"/>
      <c r="B1664" s="73"/>
    </row>
    <row r="1665" spans="1:2" x14ac:dyDescent="0.25">
      <c r="A1665" s="73"/>
      <c r="B1665" s="73"/>
    </row>
    <row r="1666" spans="1:2" x14ac:dyDescent="0.25">
      <c r="A1666" s="73"/>
      <c r="B1666" s="73"/>
    </row>
    <row r="1667" spans="1:2" x14ac:dyDescent="0.25">
      <c r="A1667" s="73"/>
      <c r="B1667" s="73"/>
    </row>
    <row r="1668" spans="1:2" x14ac:dyDescent="0.25">
      <c r="A1668" s="73"/>
      <c r="B1668" s="73"/>
    </row>
    <row r="1669" spans="1:2" x14ac:dyDescent="0.25">
      <c r="A1669" s="73"/>
      <c r="B1669" s="73"/>
    </row>
    <row r="1670" spans="1:2" x14ac:dyDescent="0.25">
      <c r="A1670" s="73"/>
      <c r="B1670" s="73"/>
    </row>
    <row r="1671" spans="1:2" x14ac:dyDescent="0.25">
      <c r="A1671" s="73"/>
      <c r="B1671" s="73"/>
    </row>
    <row r="1672" spans="1:2" x14ac:dyDescent="0.25">
      <c r="A1672" s="73"/>
      <c r="B1672" s="73"/>
    </row>
    <row r="1673" spans="1:2" x14ac:dyDescent="0.25">
      <c r="A1673" s="73"/>
      <c r="B1673" s="73"/>
    </row>
    <row r="1674" spans="1:2" x14ac:dyDescent="0.25">
      <c r="A1674" s="73"/>
      <c r="B1674" s="73"/>
    </row>
    <row r="1675" spans="1:2" x14ac:dyDescent="0.25">
      <c r="A1675" s="73"/>
      <c r="B1675" s="73"/>
    </row>
    <row r="1676" spans="1:2" x14ac:dyDescent="0.25">
      <c r="A1676" s="73"/>
      <c r="B1676" s="73"/>
    </row>
    <row r="1677" spans="1:2" x14ac:dyDescent="0.25">
      <c r="A1677" s="73"/>
      <c r="B1677" s="73"/>
    </row>
    <row r="1678" spans="1:2" x14ac:dyDescent="0.25">
      <c r="A1678" s="73"/>
      <c r="B1678" s="73"/>
    </row>
    <row r="1679" spans="1:2" x14ac:dyDescent="0.25">
      <c r="A1679" s="73"/>
      <c r="B1679" s="73"/>
    </row>
    <row r="1680" spans="1:2" x14ac:dyDescent="0.25">
      <c r="A1680" s="73"/>
      <c r="B1680" s="73"/>
    </row>
    <row r="1681" spans="1:2" x14ac:dyDescent="0.25">
      <c r="A1681" s="73"/>
      <c r="B1681" s="73"/>
    </row>
    <row r="1682" spans="1:2" x14ac:dyDescent="0.25">
      <c r="A1682" s="73"/>
      <c r="B1682" s="73"/>
    </row>
    <row r="1683" spans="1:2" x14ac:dyDescent="0.25">
      <c r="A1683" s="73"/>
      <c r="B1683" s="73"/>
    </row>
    <row r="1684" spans="1:2" x14ac:dyDescent="0.25">
      <c r="A1684" s="73"/>
      <c r="B1684" s="73"/>
    </row>
    <row r="1685" spans="1:2" x14ac:dyDescent="0.25">
      <c r="A1685" s="73"/>
      <c r="B1685" s="73"/>
    </row>
    <row r="1686" spans="1:2" x14ac:dyDescent="0.25">
      <c r="A1686" s="73"/>
      <c r="B1686" s="73"/>
    </row>
    <row r="1687" spans="1:2" x14ac:dyDescent="0.25">
      <c r="A1687" s="73"/>
      <c r="B1687" s="73"/>
    </row>
    <row r="1688" spans="1:2" x14ac:dyDescent="0.25">
      <c r="A1688" s="73"/>
      <c r="B1688" s="73"/>
    </row>
    <row r="1689" spans="1:2" x14ac:dyDescent="0.25">
      <c r="A1689" s="73"/>
      <c r="B1689" s="73"/>
    </row>
    <row r="1690" spans="1:2" x14ac:dyDescent="0.25">
      <c r="A1690" s="73"/>
      <c r="B1690" s="73"/>
    </row>
    <row r="1691" spans="1:2" x14ac:dyDescent="0.25">
      <c r="A1691" s="73"/>
      <c r="B1691" s="73"/>
    </row>
    <row r="1692" spans="1:2" x14ac:dyDescent="0.25">
      <c r="A1692" s="73"/>
      <c r="B1692" s="73"/>
    </row>
    <row r="1693" spans="1:2" x14ac:dyDescent="0.25">
      <c r="A1693" s="73"/>
      <c r="B1693" s="73"/>
    </row>
    <row r="1694" spans="1:2" x14ac:dyDescent="0.25">
      <c r="A1694" s="73"/>
      <c r="B1694" s="73"/>
    </row>
    <row r="1695" spans="1:2" x14ac:dyDescent="0.25">
      <c r="A1695" s="73"/>
      <c r="B1695" s="73"/>
    </row>
    <row r="1696" spans="1:2" x14ac:dyDescent="0.25">
      <c r="A1696" s="73"/>
      <c r="B1696" s="73"/>
    </row>
    <row r="1697" spans="1:2" x14ac:dyDescent="0.25">
      <c r="A1697" s="73"/>
      <c r="B1697" s="73"/>
    </row>
    <row r="1698" spans="1:2" x14ac:dyDescent="0.25">
      <c r="A1698" s="73"/>
      <c r="B1698" s="73"/>
    </row>
    <row r="1699" spans="1:2" x14ac:dyDescent="0.25">
      <c r="A1699" s="73"/>
      <c r="B1699" s="73"/>
    </row>
    <row r="1700" spans="1:2" x14ac:dyDescent="0.25">
      <c r="A1700" s="73"/>
      <c r="B1700" s="73"/>
    </row>
    <row r="1701" spans="1:2" x14ac:dyDescent="0.25">
      <c r="A1701" s="73"/>
      <c r="B1701" s="73"/>
    </row>
    <row r="1702" spans="1:2" x14ac:dyDescent="0.25">
      <c r="A1702" s="73"/>
      <c r="B1702" s="73"/>
    </row>
    <row r="1703" spans="1:2" x14ac:dyDescent="0.25">
      <c r="A1703" s="73"/>
      <c r="B1703" s="73"/>
    </row>
    <row r="1704" spans="1:2" x14ac:dyDescent="0.25">
      <c r="A1704" s="73"/>
      <c r="B1704" s="73"/>
    </row>
    <row r="1705" spans="1:2" x14ac:dyDescent="0.25">
      <c r="A1705" s="73"/>
      <c r="B1705" s="73"/>
    </row>
    <row r="1706" spans="1:2" x14ac:dyDescent="0.25">
      <c r="A1706" s="73"/>
      <c r="B1706" s="73"/>
    </row>
    <row r="1707" spans="1:2" x14ac:dyDescent="0.25">
      <c r="A1707" s="73"/>
      <c r="B1707" s="73"/>
    </row>
    <row r="1708" spans="1:2" x14ac:dyDescent="0.25">
      <c r="A1708" s="73"/>
      <c r="B1708" s="73"/>
    </row>
    <row r="1709" spans="1:2" x14ac:dyDescent="0.25">
      <c r="A1709" s="73"/>
      <c r="B1709" s="73"/>
    </row>
    <row r="1710" spans="1:2" x14ac:dyDescent="0.25">
      <c r="A1710" s="73"/>
      <c r="B1710" s="73"/>
    </row>
    <row r="1711" spans="1:2" x14ac:dyDescent="0.25">
      <c r="A1711" s="73"/>
      <c r="B1711" s="73"/>
    </row>
    <row r="1712" spans="1:2" x14ac:dyDescent="0.25">
      <c r="A1712" s="73"/>
      <c r="B1712" s="73"/>
    </row>
    <row r="1713" spans="1:2" x14ac:dyDescent="0.25">
      <c r="A1713" s="73"/>
      <c r="B1713" s="73"/>
    </row>
    <row r="1714" spans="1:2" x14ac:dyDescent="0.25">
      <c r="A1714" s="73"/>
      <c r="B1714" s="73"/>
    </row>
    <row r="1715" spans="1:2" x14ac:dyDescent="0.25">
      <c r="A1715" s="73"/>
      <c r="B1715" s="73"/>
    </row>
    <row r="1716" spans="1:2" x14ac:dyDescent="0.25">
      <c r="A1716" s="73"/>
      <c r="B1716" s="73"/>
    </row>
    <row r="1717" spans="1:2" x14ac:dyDescent="0.25">
      <c r="A1717" s="73"/>
      <c r="B1717" s="73"/>
    </row>
    <row r="1718" spans="1:2" x14ac:dyDescent="0.25">
      <c r="A1718" s="73"/>
      <c r="B1718" s="73"/>
    </row>
    <row r="1719" spans="1:2" x14ac:dyDescent="0.25">
      <c r="A1719" s="73"/>
      <c r="B1719" s="73"/>
    </row>
    <row r="1720" spans="1:2" x14ac:dyDescent="0.25">
      <c r="A1720" s="73"/>
      <c r="B1720" s="73"/>
    </row>
    <row r="1721" spans="1:2" x14ac:dyDescent="0.25">
      <c r="A1721" s="73"/>
      <c r="B1721" s="73"/>
    </row>
    <row r="1722" spans="1:2" x14ac:dyDescent="0.25">
      <c r="A1722" s="73"/>
      <c r="B1722" s="73"/>
    </row>
    <row r="1723" spans="1:2" x14ac:dyDescent="0.25">
      <c r="A1723" s="73"/>
      <c r="B1723" s="73"/>
    </row>
    <row r="1724" spans="1:2" x14ac:dyDescent="0.25">
      <c r="A1724" s="73"/>
      <c r="B1724" s="73"/>
    </row>
    <row r="1725" spans="1:2" x14ac:dyDescent="0.25">
      <c r="A1725" s="73"/>
      <c r="B1725" s="73"/>
    </row>
    <row r="1726" spans="1:2" x14ac:dyDescent="0.25">
      <c r="A1726" s="73"/>
      <c r="B1726" s="73"/>
    </row>
    <row r="1727" spans="1:2" x14ac:dyDescent="0.25">
      <c r="A1727" s="73"/>
      <c r="B1727" s="73"/>
    </row>
    <row r="1728" spans="1:2" x14ac:dyDescent="0.25">
      <c r="A1728" s="73"/>
      <c r="B1728" s="73"/>
    </row>
    <row r="1729" spans="1:2" x14ac:dyDescent="0.25">
      <c r="A1729" s="73"/>
      <c r="B1729" s="73"/>
    </row>
    <row r="1730" spans="1:2" x14ac:dyDescent="0.25">
      <c r="A1730" s="73"/>
      <c r="B1730" s="73"/>
    </row>
    <row r="1731" spans="1:2" x14ac:dyDescent="0.25">
      <c r="A1731" s="73"/>
      <c r="B1731" s="73"/>
    </row>
    <row r="1732" spans="1:2" x14ac:dyDescent="0.25">
      <c r="A1732" s="73"/>
      <c r="B1732" s="73"/>
    </row>
    <row r="1733" spans="1:2" x14ac:dyDescent="0.25">
      <c r="A1733" s="73"/>
      <c r="B1733" s="73"/>
    </row>
    <row r="1734" spans="1:2" x14ac:dyDescent="0.25">
      <c r="A1734" s="73"/>
      <c r="B1734" s="73"/>
    </row>
    <row r="1735" spans="1:2" x14ac:dyDescent="0.25">
      <c r="A1735" s="73"/>
      <c r="B1735" s="73"/>
    </row>
    <row r="1736" spans="1:2" x14ac:dyDescent="0.25">
      <c r="A1736" s="73"/>
      <c r="B1736" s="73"/>
    </row>
    <row r="1737" spans="1:2" x14ac:dyDescent="0.25">
      <c r="A1737" s="73"/>
      <c r="B1737" s="73"/>
    </row>
    <row r="1738" spans="1:2" x14ac:dyDescent="0.25">
      <c r="A1738" s="73"/>
      <c r="B1738" s="73"/>
    </row>
    <row r="1739" spans="1:2" x14ac:dyDescent="0.25">
      <c r="A1739" s="73"/>
      <c r="B1739" s="73"/>
    </row>
    <row r="1740" spans="1:2" x14ac:dyDescent="0.25">
      <c r="A1740" s="73"/>
      <c r="B1740" s="73"/>
    </row>
    <row r="1741" spans="1:2" x14ac:dyDescent="0.25">
      <c r="A1741" s="73"/>
      <c r="B1741" s="73"/>
    </row>
    <row r="1742" spans="1:2" x14ac:dyDescent="0.25">
      <c r="A1742" s="73"/>
      <c r="B1742" s="73"/>
    </row>
    <row r="1743" spans="1:2" x14ac:dyDescent="0.25">
      <c r="A1743" s="73"/>
      <c r="B1743" s="73"/>
    </row>
    <row r="1744" spans="1:2" x14ac:dyDescent="0.25">
      <c r="A1744" s="73"/>
      <c r="B1744" s="73"/>
    </row>
    <row r="1745" spans="1:2" x14ac:dyDescent="0.25">
      <c r="A1745" s="73"/>
      <c r="B1745" s="73"/>
    </row>
    <row r="1746" spans="1:2" x14ac:dyDescent="0.25">
      <c r="A1746" s="73"/>
      <c r="B1746" s="73"/>
    </row>
    <row r="1747" spans="1:2" x14ac:dyDescent="0.25">
      <c r="A1747" s="73"/>
      <c r="B1747" s="73"/>
    </row>
    <row r="1748" spans="1:2" x14ac:dyDescent="0.25">
      <c r="A1748" s="73"/>
      <c r="B1748" s="73"/>
    </row>
    <row r="1749" spans="1:2" x14ac:dyDescent="0.25">
      <c r="A1749" s="73"/>
      <c r="B1749" s="73"/>
    </row>
    <row r="1750" spans="1:2" x14ac:dyDescent="0.25">
      <c r="A1750" s="73"/>
      <c r="B1750" s="73"/>
    </row>
    <row r="1751" spans="1:2" x14ac:dyDescent="0.25">
      <c r="A1751" s="73"/>
      <c r="B1751" s="73"/>
    </row>
    <row r="1752" spans="1:2" x14ac:dyDescent="0.25">
      <c r="A1752" s="73"/>
      <c r="B1752" s="73"/>
    </row>
    <row r="1753" spans="1:2" x14ac:dyDescent="0.25">
      <c r="A1753" s="73"/>
      <c r="B1753" s="73"/>
    </row>
    <row r="1754" spans="1:2" x14ac:dyDescent="0.25">
      <c r="A1754" s="73"/>
      <c r="B1754" s="73"/>
    </row>
    <row r="1755" spans="1:2" x14ac:dyDescent="0.25">
      <c r="A1755" s="73"/>
      <c r="B1755" s="73"/>
    </row>
    <row r="1756" spans="1:2" x14ac:dyDescent="0.25">
      <c r="A1756" s="73"/>
      <c r="B1756" s="73"/>
    </row>
    <row r="1757" spans="1:2" x14ac:dyDescent="0.25">
      <c r="A1757" s="73"/>
      <c r="B1757" s="73"/>
    </row>
    <row r="1758" spans="1:2" x14ac:dyDescent="0.25">
      <c r="A1758" s="73"/>
      <c r="B1758" s="73"/>
    </row>
    <row r="1759" spans="1:2" x14ac:dyDescent="0.25">
      <c r="A1759" s="73"/>
      <c r="B1759" s="73"/>
    </row>
    <row r="1760" spans="1:2" x14ac:dyDescent="0.25">
      <c r="A1760" s="73"/>
      <c r="B1760" s="73"/>
    </row>
    <row r="1761" spans="1:2" x14ac:dyDescent="0.25">
      <c r="A1761" s="73"/>
      <c r="B1761" s="73"/>
    </row>
    <row r="1762" spans="1:2" x14ac:dyDescent="0.25">
      <c r="A1762" s="73"/>
      <c r="B1762" s="73"/>
    </row>
    <row r="1763" spans="1:2" x14ac:dyDescent="0.25">
      <c r="A1763" s="73"/>
      <c r="B1763" s="73"/>
    </row>
    <row r="1764" spans="1:2" x14ac:dyDescent="0.25">
      <c r="A1764" s="73"/>
      <c r="B1764" s="73"/>
    </row>
    <row r="1765" spans="1:2" x14ac:dyDescent="0.25">
      <c r="A1765" s="73"/>
      <c r="B1765" s="73"/>
    </row>
    <row r="1766" spans="1:2" x14ac:dyDescent="0.25">
      <c r="A1766" s="73"/>
      <c r="B1766" s="73"/>
    </row>
    <row r="1767" spans="1:2" x14ac:dyDescent="0.25">
      <c r="A1767" s="73"/>
      <c r="B1767" s="73"/>
    </row>
    <row r="1768" spans="1:2" x14ac:dyDescent="0.25">
      <c r="A1768" s="73"/>
      <c r="B1768" s="73"/>
    </row>
    <row r="1769" spans="1:2" x14ac:dyDescent="0.25">
      <c r="A1769" s="73"/>
      <c r="B1769" s="73"/>
    </row>
    <row r="1770" spans="1:2" x14ac:dyDescent="0.25">
      <c r="A1770" s="73"/>
      <c r="B1770" s="73"/>
    </row>
    <row r="1771" spans="1:2" x14ac:dyDescent="0.25">
      <c r="A1771" s="73"/>
      <c r="B1771" s="73"/>
    </row>
    <row r="1772" spans="1:2" x14ac:dyDescent="0.25">
      <c r="A1772" s="73"/>
      <c r="B1772" s="73"/>
    </row>
    <row r="1773" spans="1:2" x14ac:dyDescent="0.25">
      <c r="A1773" s="73"/>
      <c r="B1773" s="73"/>
    </row>
    <row r="1774" spans="1:2" x14ac:dyDescent="0.25">
      <c r="A1774" s="73"/>
      <c r="B1774" s="73"/>
    </row>
    <row r="1775" spans="1:2" x14ac:dyDescent="0.25">
      <c r="A1775" s="73"/>
      <c r="B1775" s="73"/>
    </row>
    <row r="1776" spans="1:2" x14ac:dyDescent="0.25">
      <c r="A1776" s="73"/>
      <c r="B1776" s="73"/>
    </row>
    <row r="1777" spans="1:2" x14ac:dyDescent="0.25">
      <c r="A1777" s="73"/>
      <c r="B1777" s="73"/>
    </row>
    <row r="1778" spans="1:2" x14ac:dyDescent="0.25">
      <c r="A1778" s="73"/>
      <c r="B1778" s="73"/>
    </row>
    <row r="1779" spans="1:2" x14ac:dyDescent="0.25">
      <c r="A1779" s="73"/>
      <c r="B1779" s="73"/>
    </row>
    <row r="1780" spans="1:2" x14ac:dyDescent="0.25">
      <c r="A1780" s="73"/>
      <c r="B1780" s="73"/>
    </row>
    <row r="1781" spans="1:2" x14ac:dyDescent="0.25">
      <c r="A1781" s="73"/>
      <c r="B1781" s="73"/>
    </row>
    <row r="1782" spans="1:2" x14ac:dyDescent="0.25">
      <c r="A1782" s="73"/>
      <c r="B1782" s="73"/>
    </row>
    <row r="1783" spans="1:2" x14ac:dyDescent="0.25">
      <c r="A1783" s="73"/>
      <c r="B1783" s="73"/>
    </row>
    <row r="1784" spans="1:2" x14ac:dyDescent="0.25">
      <c r="A1784" s="73"/>
      <c r="B1784" s="73"/>
    </row>
    <row r="1785" spans="1:2" x14ac:dyDescent="0.25">
      <c r="A1785" s="73"/>
      <c r="B1785" s="73"/>
    </row>
    <row r="1786" spans="1:2" x14ac:dyDescent="0.25">
      <c r="A1786" s="73"/>
      <c r="B1786" s="73"/>
    </row>
    <row r="1787" spans="1:2" x14ac:dyDescent="0.25">
      <c r="A1787" s="73"/>
      <c r="B1787" s="73"/>
    </row>
    <row r="1788" spans="1:2" x14ac:dyDescent="0.25">
      <c r="A1788" s="73"/>
      <c r="B1788" s="73"/>
    </row>
    <row r="1789" spans="1:2" x14ac:dyDescent="0.25">
      <c r="A1789" s="73"/>
      <c r="B1789" s="73"/>
    </row>
    <row r="1790" spans="1:2" x14ac:dyDescent="0.25">
      <c r="A1790" s="73"/>
      <c r="B1790" s="73"/>
    </row>
    <row r="1791" spans="1:2" x14ac:dyDescent="0.25">
      <c r="A1791" s="73"/>
      <c r="B1791" s="73"/>
    </row>
    <row r="1792" spans="1:2" x14ac:dyDescent="0.25">
      <c r="A1792" s="73"/>
      <c r="B1792" s="73"/>
    </row>
    <row r="1793" spans="1:2" x14ac:dyDescent="0.25">
      <c r="A1793" s="73"/>
      <c r="B1793" s="73"/>
    </row>
    <row r="1794" spans="1:2" x14ac:dyDescent="0.25">
      <c r="A1794" s="73"/>
      <c r="B1794" s="73"/>
    </row>
    <row r="1795" spans="1:2" x14ac:dyDescent="0.25">
      <c r="A1795" s="73"/>
      <c r="B1795" s="73"/>
    </row>
    <row r="1796" spans="1:2" x14ac:dyDescent="0.25">
      <c r="A1796" s="73"/>
      <c r="B1796" s="73"/>
    </row>
    <row r="1797" spans="1:2" x14ac:dyDescent="0.25">
      <c r="A1797" s="73"/>
      <c r="B1797" s="73"/>
    </row>
    <row r="1798" spans="1:2" x14ac:dyDescent="0.25">
      <c r="A1798" s="73"/>
      <c r="B1798" s="73"/>
    </row>
    <row r="1799" spans="1:2" x14ac:dyDescent="0.25">
      <c r="A1799" s="73"/>
      <c r="B1799" s="73"/>
    </row>
    <row r="1800" spans="1:2" x14ac:dyDescent="0.25">
      <c r="A1800" s="73"/>
      <c r="B1800" s="73"/>
    </row>
    <row r="1801" spans="1:2" x14ac:dyDescent="0.25">
      <c r="A1801" s="73"/>
      <c r="B1801" s="73"/>
    </row>
    <row r="1802" spans="1:2" x14ac:dyDescent="0.25">
      <c r="A1802" s="73"/>
      <c r="B1802" s="73"/>
    </row>
    <row r="1803" spans="1:2" x14ac:dyDescent="0.25">
      <c r="A1803" s="73"/>
      <c r="B1803" s="73"/>
    </row>
    <row r="1804" spans="1:2" x14ac:dyDescent="0.25">
      <c r="A1804" s="73"/>
      <c r="B1804" s="73"/>
    </row>
    <row r="1805" spans="1:2" x14ac:dyDescent="0.25">
      <c r="A1805" s="73"/>
      <c r="B1805" s="73"/>
    </row>
    <row r="1806" spans="1:2" x14ac:dyDescent="0.25">
      <c r="A1806" s="73"/>
      <c r="B1806" s="73"/>
    </row>
    <row r="1807" spans="1:2" x14ac:dyDescent="0.25">
      <c r="A1807" s="73"/>
      <c r="B1807" s="73"/>
    </row>
    <row r="1808" spans="1:2" x14ac:dyDescent="0.25">
      <c r="A1808" s="73"/>
      <c r="B1808" s="73"/>
    </row>
    <row r="1809" spans="1:2" x14ac:dyDescent="0.25">
      <c r="A1809" s="73"/>
      <c r="B1809" s="73"/>
    </row>
    <row r="1810" spans="1:2" x14ac:dyDescent="0.25">
      <c r="A1810" s="73"/>
      <c r="B1810" s="73"/>
    </row>
    <row r="1811" spans="1:2" x14ac:dyDescent="0.25">
      <c r="A1811" s="73"/>
      <c r="B1811" s="73"/>
    </row>
    <row r="1812" spans="1:2" x14ac:dyDescent="0.25">
      <c r="A1812" s="73"/>
      <c r="B1812" s="73"/>
    </row>
    <row r="1813" spans="1:2" x14ac:dyDescent="0.25">
      <c r="A1813" s="73"/>
      <c r="B1813" s="73"/>
    </row>
    <row r="1814" spans="1:2" x14ac:dyDescent="0.25">
      <c r="A1814" s="73"/>
      <c r="B1814" s="73"/>
    </row>
    <row r="1815" spans="1:2" x14ac:dyDescent="0.25">
      <c r="A1815" s="73"/>
      <c r="B1815" s="73"/>
    </row>
    <row r="1816" spans="1:2" x14ac:dyDescent="0.25">
      <c r="A1816" s="73"/>
      <c r="B1816" s="73"/>
    </row>
    <row r="1817" spans="1:2" x14ac:dyDescent="0.25">
      <c r="A1817" s="73"/>
      <c r="B1817" s="73"/>
    </row>
    <row r="1818" spans="1:2" x14ac:dyDescent="0.25">
      <c r="A1818" s="73"/>
      <c r="B1818" s="73"/>
    </row>
    <row r="1819" spans="1:2" x14ac:dyDescent="0.25">
      <c r="A1819" s="73"/>
      <c r="B1819" s="73"/>
    </row>
    <row r="1820" spans="1:2" x14ac:dyDescent="0.25">
      <c r="A1820" s="73"/>
      <c r="B1820" s="73"/>
    </row>
    <row r="1821" spans="1:2" x14ac:dyDescent="0.25">
      <c r="A1821" s="73"/>
      <c r="B1821" s="73"/>
    </row>
    <row r="1822" spans="1:2" x14ac:dyDescent="0.25">
      <c r="A1822" s="73"/>
      <c r="B1822" s="73"/>
    </row>
    <row r="1823" spans="1:2" x14ac:dyDescent="0.25">
      <c r="A1823" s="73"/>
      <c r="B1823" s="73"/>
    </row>
    <row r="1824" spans="1:2" x14ac:dyDescent="0.25">
      <c r="A1824" s="73"/>
      <c r="B1824" s="73"/>
    </row>
    <row r="1825" spans="1:2" x14ac:dyDescent="0.25">
      <c r="A1825" s="73"/>
      <c r="B1825" s="73"/>
    </row>
    <row r="1826" spans="1:2" x14ac:dyDescent="0.25">
      <c r="A1826" s="73"/>
      <c r="B1826" s="73"/>
    </row>
    <row r="1827" spans="1:2" x14ac:dyDescent="0.25">
      <c r="A1827" s="73"/>
      <c r="B1827" s="73"/>
    </row>
    <row r="1828" spans="1:2" x14ac:dyDescent="0.25">
      <c r="A1828" s="73"/>
      <c r="B1828" s="73"/>
    </row>
    <row r="1829" spans="1:2" x14ac:dyDescent="0.25">
      <c r="A1829" s="73"/>
      <c r="B1829" s="73"/>
    </row>
    <row r="1830" spans="1:2" x14ac:dyDescent="0.25">
      <c r="A1830" s="73"/>
      <c r="B1830" s="73"/>
    </row>
    <row r="1831" spans="1:2" x14ac:dyDescent="0.25">
      <c r="A1831" s="73"/>
      <c r="B1831" s="73"/>
    </row>
    <row r="1832" spans="1:2" x14ac:dyDescent="0.25">
      <c r="A1832" s="73"/>
      <c r="B1832" s="73"/>
    </row>
    <row r="1833" spans="1:2" x14ac:dyDescent="0.25">
      <c r="A1833" s="73"/>
      <c r="B1833" s="73"/>
    </row>
    <row r="1834" spans="1:2" x14ac:dyDescent="0.25">
      <c r="A1834" s="73"/>
      <c r="B1834" s="73"/>
    </row>
    <row r="1835" spans="1:2" x14ac:dyDescent="0.25">
      <c r="A1835" s="73"/>
      <c r="B1835" s="73"/>
    </row>
    <row r="1836" spans="1:2" x14ac:dyDescent="0.25">
      <c r="A1836" s="73"/>
      <c r="B1836" s="73"/>
    </row>
    <row r="1837" spans="1:2" x14ac:dyDescent="0.25">
      <c r="A1837" s="73"/>
      <c r="B1837" s="73"/>
    </row>
    <row r="1838" spans="1:2" x14ac:dyDescent="0.25">
      <c r="A1838" s="73"/>
      <c r="B1838" s="73"/>
    </row>
    <row r="1839" spans="1:2" x14ac:dyDescent="0.25">
      <c r="A1839" s="73"/>
      <c r="B1839" s="73"/>
    </row>
    <row r="1840" spans="1:2" x14ac:dyDescent="0.25">
      <c r="A1840" s="73"/>
      <c r="B1840" s="73"/>
    </row>
    <row r="1841" spans="1:2" x14ac:dyDescent="0.25">
      <c r="A1841" s="73"/>
      <c r="B1841" s="73"/>
    </row>
    <row r="1842" spans="1:2" x14ac:dyDescent="0.25">
      <c r="A1842" s="73"/>
      <c r="B1842" s="73"/>
    </row>
    <row r="1843" spans="1:2" x14ac:dyDescent="0.25">
      <c r="A1843" s="73"/>
      <c r="B1843" s="73"/>
    </row>
    <row r="1844" spans="1:2" x14ac:dyDescent="0.25">
      <c r="A1844" s="73"/>
      <c r="B1844" s="73"/>
    </row>
    <row r="1845" spans="1:2" x14ac:dyDescent="0.25">
      <c r="A1845" s="73"/>
      <c r="B1845" s="73"/>
    </row>
    <row r="1846" spans="1:2" x14ac:dyDescent="0.25">
      <c r="A1846" s="73"/>
      <c r="B1846" s="73"/>
    </row>
    <row r="1847" spans="1:2" x14ac:dyDescent="0.25">
      <c r="A1847" s="73"/>
      <c r="B1847" s="73"/>
    </row>
    <row r="1848" spans="1:2" x14ac:dyDescent="0.25">
      <c r="A1848" s="73"/>
      <c r="B1848" s="73"/>
    </row>
    <row r="1849" spans="1:2" x14ac:dyDescent="0.25">
      <c r="A1849" s="73"/>
      <c r="B1849" s="73"/>
    </row>
    <row r="1850" spans="1:2" x14ac:dyDescent="0.25">
      <c r="A1850" s="73"/>
      <c r="B1850" s="73"/>
    </row>
    <row r="1851" spans="1:2" x14ac:dyDescent="0.25">
      <c r="A1851" s="73"/>
      <c r="B1851" s="73"/>
    </row>
    <row r="1852" spans="1:2" x14ac:dyDescent="0.25">
      <c r="A1852" s="73"/>
      <c r="B1852" s="73"/>
    </row>
    <row r="1853" spans="1:2" x14ac:dyDescent="0.25">
      <c r="A1853" s="73"/>
      <c r="B1853" s="73"/>
    </row>
    <row r="1854" spans="1:2" x14ac:dyDescent="0.25">
      <c r="A1854" s="73"/>
      <c r="B1854" s="73"/>
    </row>
    <row r="1855" spans="1:2" x14ac:dyDescent="0.25">
      <c r="A1855" s="73"/>
      <c r="B1855" s="73"/>
    </row>
    <row r="1856" spans="1:2" x14ac:dyDescent="0.25">
      <c r="A1856" s="73"/>
      <c r="B1856" s="73"/>
    </row>
    <row r="1857" spans="1:2" x14ac:dyDescent="0.25">
      <c r="A1857" s="73"/>
      <c r="B1857" s="73"/>
    </row>
    <row r="1858" spans="1:2" x14ac:dyDescent="0.25">
      <c r="A1858" s="73"/>
      <c r="B1858" s="73"/>
    </row>
    <row r="1859" spans="1:2" x14ac:dyDescent="0.25">
      <c r="A1859" s="73"/>
      <c r="B1859" s="73"/>
    </row>
    <row r="1860" spans="1:2" x14ac:dyDescent="0.25">
      <c r="A1860" s="73"/>
      <c r="B1860" s="73"/>
    </row>
    <row r="1861" spans="1:2" x14ac:dyDescent="0.25">
      <c r="A1861" s="73"/>
      <c r="B1861" s="73"/>
    </row>
    <row r="1862" spans="1:2" x14ac:dyDescent="0.25">
      <c r="A1862" s="73"/>
      <c r="B1862" s="73"/>
    </row>
    <row r="1863" spans="1:2" x14ac:dyDescent="0.25">
      <c r="A1863" s="73"/>
      <c r="B1863" s="73"/>
    </row>
    <row r="1864" spans="1:2" x14ac:dyDescent="0.25">
      <c r="A1864" s="73"/>
      <c r="B1864" s="73"/>
    </row>
    <row r="1865" spans="1:2" x14ac:dyDescent="0.25">
      <c r="A1865" s="73"/>
      <c r="B1865" s="73"/>
    </row>
    <row r="1866" spans="1:2" x14ac:dyDescent="0.25">
      <c r="A1866" s="73"/>
      <c r="B1866" s="73"/>
    </row>
    <row r="1867" spans="1:2" x14ac:dyDescent="0.25">
      <c r="A1867" s="73"/>
      <c r="B1867" s="73"/>
    </row>
    <row r="1868" spans="1:2" x14ac:dyDescent="0.25">
      <c r="A1868" s="73"/>
      <c r="B1868" s="73"/>
    </row>
    <row r="1869" spans="1:2" x14ac:dyDescent="0.25">
      <c r="A1869" s="73"/>
      <c r="B1869" s="73"/>
    </row>
    <row r="1870" spans="1:2" x14ac:dyDescent="0.25">
      <c r="A1870" s="73"/>
      <c r="B1870" s="73"/>
    </row>
    <row r="1871" spans="1:2" x14ac:dyDescent="0.25">
      <c r="A1871" s="73"/>
      <c r="B1871" s="73"/>
    </row>
    <row r="1872" spans="1:2" x14ac:dyDescent="0.25">
      <c r="A1872" s="73"/>
      <c r="B1872" s="73"/>
    </row>
    <row r="1873" spans="1:2" x14ac:dyDescent="0.25">
      <c r="A1873" s="73"/>
      <c r="B1873" s="73"/>
    </row>
    <row r="1874" spans="1:2" x14ac:dyDescent="0.25">
      <c r="A1874" s="73"/>
      <c r="B1874" s="73"/>
    </row>
    <row r="1875" spans="1:2" x14ac:dyDescent="0.25">
      <c r="A1875" s="73"/>
      <c r="B1875" s="73"/>
    </row>
    <row r="1876" spans="1:2" x14ac:dyDescent="0.25">
      <c r="A1876" s="73"/>
      <c r="B1876" s="73"/>
    </row>
    <row r="1877" spans="1:2" x14ac:dyDescent="0.25">
      <c r="A1877" s="73"/>
      <c r="B1877" s="73"/>
    </row>
    <row r="1878" spans="1:2" x14ac:dyDescent="0.25">
      <c r="A1878" s="73"/>
      <c r="B1878" s="73"/>
    </row>
    <row r="1879" spans="1:2" x14ac:dyDescent="0.25">
      <c r="A1879" s="73"/>
      <c r="B1879" s="73"/>
    </row>
    <row r="1880" spans="1:2" x14ac:dyDescent="0.25">
      <c r="A1880" s="73"/>
      <c r="B1880" s="73"/>
    </row>
    <row r="1881" spans="1:2" x14ac:dyDescent="0.25">
      <c r="A1881" s="73"/>
      <c r="B1881" s="73"/>
    </row>
    <row r="1882" spans="1:2" x14ac:dyDescent="0.25">
      <c r="A1882" s="73"/>
      <c r="B1882" s="73"/>
    </row>
    <row r="1883" spans="1:2" x14ac:dyDescent="0.25">
      <c r="A1883" s="73"/>
      <c r="B1883" s="73"/>
    </row>
    <row r="1884" spans="1:2" x14ac:dyDescent="0.25">
      <c r="A1884" s="73"/>
      <c r="B1884" s="73"/>
    </row>
    <row r="1885" spans="1:2" x14ac:dyDescent="0.25">
      <c r="A1885" s="73"/>
      <c r="B1885" s="73"/>
    </row>
    <row r="1886" spans="1:2" x14ac:dyDescent="0.25">
      <c r="A1886" s="73"/>
      <c r="B1886" s="73"/>
    </row>
    <row r="1887" spans="1:2" x14ac:dyDescent="0.25">
      <c r="A1887" s="73"/>
      <c r="B1887" s="73"/>
    </row>
    <row r="1888" spans="1:2" x14ac:dyDescent="0.25">
      <c r="A1888" s="73"/>
      <c r="B1888" s="73"/>
    </row>
    <row r="1889" spans="1:2" x14ac:dyDescent="0.25">
      <c r="A1889" s="73"/>
      <c r="B1889" s="73"/>
    </row>
    <row r="1890" spans="1:2" x14ac:dyDescent="0.25">
      <c r="A1890" s="73"/>
      <c r="B1890" s="73"/>
    </row>
    <row r="1891" spans="1:2" x14ac:dyDescent="0.25">
      <c r="A1891" s="73"/>
      <c r="B1891" s="73"/>
    </row>
    <row r="1892" spans="1:2" x14ac:dyDescent="0.25">
      <c r="A1892" s="73"/>
      <c r="B1892" s="73"/>
    </row>
    <row r="1893" spans="1:2" x14ac:dyDescent="0.25">
      <c r="A1893" s="73"/>
      <c r="B1893" s="73"/>
    </row>
    <row r="1894" spans="1:2" x14ac:dyDescent="0.25">
      <c r="A1894" s="73"/>
      <c r="B1894" s="73"/>
    </row>
    <row r="1895" spans="1:2" x14ac:dyDescent="0.25">
      <c r="A1895" s="73"/>
      <c r="B1895" s="73"/>
    </row>
    <row r="1896" spans="1:2" x14ac:dyDescent="0.25">
      <c r="A1896" s="73"/>
      <c r="B1896" s="73"/>
    </row>
    <row r="1897" spans="1:2" x14ac:dyDescent="0.25">
      <c r="A1897" s="73"/>
      <c r="B1897" s="73"/>
    </row>
    <row r="1898" spans="1:2" x14ac:dyDescent="0.25">
      <c r="A1898" s="73"/>
      <c r="B1898" s="73"/>
    </row>
    <row r="1899" spans="1:2" x14ac:dyDescent="0.25">
      <c r="A1899" s="73"/>
      <c r="B1899" s="73"/>
    </row>
    <row r="1900" spans="1:2" x14ac:dyDescent="0.25">
      <c r="A1900" s="73"/>
      <c r="B1900" s="73"/>
    </row>
    <row r="1901" spans="1:2" x14ac:dyDescent="0.25">
      <c r="A1901" s="73"/>
      <c r="B1901" s="73"/>
    </row>
    <row r="1902" spans="1:2" x14ac:dyDescent="0.25">
      <c r="A1902" s="73"/>
      <c r="B1902" s="73"/>
    </row>
    <row r="1903" spans="1:2" x14ac:dyDescent="0.25">
      <c r="A1903" s="73"/>
      <c r="B1903" s="73"/>
    </row>
    <row r="1904" spans="1:2" x14ac:dyDescent="0.25">
      <c r="A1904" s="73"/>
      <c r="B1904" s="73"/>
    </row>
    <row r="1905" spans="1:2" x14ac:dyDescent="0.25">
      <c r="A1905" s="73"/>
      <c r="B1905" s="73"/>
    </row>
    <row r="1906" spans="1:2" x14ac:dyDescent="0.25">
      <c r="A1906" s="73"/>
      <c r="B1906" s="73"/>
    </row>
    <row r="1907" spans="1:2" x14ac:dyDescent="0.25">
      <c r="A1907" s="73"/>
      <c r="B1907" s="73"/>
    </row>
    <row r="1908" spans="1:2" x14ac:dyDescent="0.25">
      <c r="A1908" s="73"/>
      <c r="B1908" s="73"/>
    </row>
    <row r="1909" spans="1:2" x14ac:dyDescent="0.25">
      <c r="A1909" s="73"/>
      <c r="B1909" s="73"/>
    </row>
    <row r="1910" spans="1:2" x14ac:dyDescent="0.25">
      <c r="A1910" s="73"/>
      <c r="B1910" s="73"/>
    </row>
    <row r="1911" spans="1:2" x14ac:dyDescent="0.25">
      <c r="A1911" s="73"/>
      <c r="B1911" s="73"/>
    </row>
    <row r="1912" spans="1:2" x14ac:dyDescent="0.25">
      <c r="A1912" s="73"/>
      <c r="B1912" s="73"/>
    </row>
    <row r="1913" spans="1:2" x14ac:dyDescent="0.25">
      <c r="A1913" s="73"/>
      <c r="B1913" s="73"/>
    </row>
    <row r="1914" spans="1:2" x14ac:dyDescent="0.25">
      <c r="A1914" s="73"/>
      <c r="B1914" s="73"/>
    </row>
    <row r="1915" spans="1:2" x14ac:dyDescent="0.25">
      <c r="A1915" s="73"/>
      <c r="B1915" s="73"/>
    </row>
    <row r="1916" spans="1:2" x14ac:dyDescent="0.25">
      <c r="A1916" s="73"/>
      <c r="B1916" s="73"/>
    </row>
    <row r="1917" spans="1:2" x14ac:dyDescent="0.25">
      <c r="A1917" s="73"/>
      <c r="B1917" s="73"/>
    </row>
    <row r="1918" spans="1:2" x14ac:dyDescent="0.25">
      <c r="A1918" s="73"/>
      <c r="B1918" s="73"/>
    </row>
    <row r="1919" spans="1:2" x14ac:dyDescent="0.25">
      <c r="A1919" s="73"/>
      <c r="B1919" s="73"/>
    </row>
    <row r="1920" spans="1:2" x14ac:dyDescent="0.25">
      <c r="A1920" s="73"/>
      <c r="B1920" s="73"/>
    </row>
    <row r="1921" spans="1:2" x14ac:dyDescent="0.25">
      <c r="A1921" s="73"/>
      <c r="B1921" s="73"/>
    </row>
    <row r="1922" spans="1:2" x14ac:dyDescent="0.25">
      <c r="A1922" s="73"/>
      <c r="B1922" s="73"/>
    </row>
    <row r="1923" spans="1:2" x14ac:dyDescent="0.25">
      <c r="A1923" s="73"/>
      <c r="B1923" s="73"/>
    </row>
    <row r="1924" spans="1:2" x14ac:dyDescent="0.25">
      <c r="A1924" s="73"/>
      <c r="B1924" s="73"/>
    </row>
    <row r="1925" spans="1:2" x14ac:dyDescent="0.25">
      <c r="A1925" s="73"/>
      <c r="B1925" s="73"/>
    </row>
    <row r="1926" spans="1:2" x14ac:dyDescent="0.25">
      <c r="A1926" s="73"/>
      <c r="B1926" s="73"/>
    </row>
    <row r="1927" spans="1:2" x14ac:dyDescent="0.25">
      <c r="A1927" s="73"/>
      <c r="B1927" s="73"/>
    </row>
    <row r="1928" spans="1:2" x14ac:dyDescent="0.25">
      <c r="A1928" s="73"/>
      <c r="B1928" s="73"/>
    </row>
    <row r="1929" spans="1:2" x14ac:dyDescent="0.25">
      <c r="A1929" s="73"/>
      <c r="B1929" s="73"/>
    </row>
    <row r="1930" spans="1:2" x14ac:dyDescent="0.25">
      <c r="A1930" s="73"/>
      <c r="B1930" s="73"/>
    </row>
    <row r="1931" spans="1:2" x14ac:dyDescent="0.25">
      <c r="A1931" s="73"/>
      <c r="B1931" s="73"/>
    </row>
    <row r="1932" spans="1:2" x14ac:dyDescent="0.25">
      <c r="A1932" s="73"/>
      <c r="B1932" s="73"/>
    </row>
    <row r="1933" spans="1:2" x14ac:dyDescent="0.25">
      <c r="A1933" s="73"/>
      <c r="B1933" s="73"/>
    </row>
    <row r="1934" spans="1:2" x14ac:dyDescent="0.25">
      <c r="A1934" s="73"/>
      <c r="B1934" s="73"/>
    </row>
    <row r="1935" spans="1:2" x14ac:dyDescent="0.25">
      <c r="A1935" s="73"/>
      <c r="B1935" s="73"/>
    </row>
    <row r="1936" spans="1:2" x14ac:dyDescent="0.25">
      <c r="A1936" s="73"/>
      <c r="B1936" s="73"/>
    </row>
    <row r="1937" spans="1:2" x14ac:dyDescent="0.25">
      <c r="A1937" s="73"/>
      <c r="B1937" s="73"/>
    </row>
    <row r="1938" spans="1:2" x14ac:dyDescent="0.25">
      <c r="A1938" s="73"/>
      <c r="B1938" s="73"/>
    </row>
    <row r="1939" spans="1:2" x14ac:dyDescent="0.25">
      <c r="A1939" s="73"/>
      <c r="B1939" s="73"/>
    </row>
    <row r="1940" spans="1:2" x14ac:dyDescent="0.25">
      <c r="A1940" s="73"/>
      <c r="B1940" s="73"/>
    </row>
    <row r="1941" spans="1:2" x14ac:dyDescent="0.25">
      <c r="A1941" s="73"/>
      <c r="B1941" s="73"/>
    </row>
    <row r="1942" spans="1:2" x14ac:dyDescent="0.25">
      <c r="A1942" s="73"/>
      <c r="B1942" s="73"/>
    </row>
    <row r="1943" spans="1:2" x14ac:dyDescent="0.25">
      <c r="A1943" s="73"/>
      <c r="B1943" s="73"/>
    </row>
    <row r="1944" spans="1:2" x14ac:dyDescent="0.25">
      <c r="A1944" s="73"/>
      <c r="B1944" s="73"/>
    </row>
    <row r="1945" spans="1:2" x14ac:dyDescent="0.25">
      <c r="A1945" s="73"/>
      <c r="B1945" s="73"/>
    </row>
    <row r="1946" spans="1:2" x14ac:dyDescent="0.25">
      <c r="A1946" s="73"/>
      <c r="B1946" s="73"/>
    </row>
    <row r="1947" spans="1:2" x14ac:dyDescent="0.25">
      <c r="A1947" s="73"/>
      <c r="B1947" s="73"/>
    </row>
    <row r="1948" spans="1:2" x14ac:dyDescent="0.25">
      <c r="A1948" s="73"/>
      <c r="B1948" s="73"/>
    </row>
    <row r="1949" spans="1:2" x14ac:dyDescent="0.25">
      <c r="A1949" s="73"/>
      <c r="B1949" s="73"/>
    </row>
    <row r="1950" spans="1:2" x14ac:dyDescent="0.25">
      <c r="A1950" s="73"/>
      <c r="B1950" s="73"/>
    </row>
    <row r="1951" spans="1:2" x14ac:dyDescent="0.25">
      <c r="A1951" s="73"/>
      <c r="B1951" s="73"/>
    </row>
    <row r="1952" spans="1:2" x14ac:dyDescent="0.25">
      <c r="A1952" s="73"/>
      <c r="B1952" s="73"/>
    </row>
    <row r="1953" spans="1:2" x14ac:dyDescent="0.25">
      <c r="A1953" s="73"/>
      <c r="B1953" s="73"/>
    </row>
    <row r="1954" spans="1:2" x14ac:dyDescent="0.25">
      <c r="A1954" s="73"/>
      <c r="B1954" s="73"/>
    </row>
    <row r="1955" spans="1:2" x14ac:dyDescent="0.25">
      <c r="A1955" s="73"/>
      <c r="B1955" s="73"/>
    </row>
    <row r="1956" spans="1:2" x14ac:dyDescent="0.25">
      <c r="A1956" s="73"/>
      <c r="B1956" s="73"/>
    </row>
    <row r="1957" spans="1:2" x14ac:dyDescent="0.25">
      <c r="A1957" s="73"/>
      <c r="B1957" s="73"/>
    </row>
    <row r="1958" spans="1:2" x14ac:dyDescent="0.25">
      <c r="A1958" s="73"/>
      <c r="B1958" s="73"/>
    </row>
    <row r="1959" spans="1:2" x14ac:dyDescent="0.25">
      <c r="A1959" s="73"/>
      <c r="B1959" s="73"/>
    </row>
    <row r="1960" spans="1:2" x14ac:dyDescent="0.25">
      <c r="A1960" s="73"/>
      <c r="B1960" s="73"/>
    </row>
    <row r="1961" spans="1:2" x14ac:dyDescent="0.25">
      <c r="A1961" s="73"/>
      <c r="B1961" s="73"/>
    </row>
    <row r="1962" spans="1:2" x14ac:dyDescent="0.25">
      <c r="A1962" s="73"/>
      <c r="B1962" s="73"/>
    </row>
    <row r="1963" spans="1:2" x14ac:dyDescent="0.25">
      <c r="A1963" s="73"/>
      <c r="B1963" s="73"/>
    </row>
    <row r="1964" spans="1:2" x14ac:dyDescent="0.25">
      <c r="A1964" s="73"/>
      <c r="B1964" s="73"/>
    </row>
    <row r="1965" spans="1:2" x14ac:dyDescent="0.25">
      <c r="A1965" s="73"/>
      <c r="B1965" s="73"/>
    </row>
    <row r="1966" spans="1:2" x14ac:dyDescent="0.25">
      <c r="A1966" s="73"/>
      <c r="B1966" s="73"/>
    </row>
    <row r="1967" spans="1:2" x14ac:dyDescent="0.25">
      <c r="A1967" s="73"/>
      <c r="B1967" s="73"/>
    </row>
    <row r="1968" spans="1:2" x14ac:dyDescent="0.25">
      <c r="A1968" s="73"/>
      <c r="B1968" s="73"/>
    </row>
    <row r="1969" spans="1:2" x14ac:dyDescent="0.25">
      <c r="A1969" s="73"/>
      <c r="B1969" s="73"/>
    </row>
    <row r="1970" spans="1:2" x14ac:dyDescent="0.25">
      <c r="A1970" s="73"/>
      <c r="B1970" s="73"/>
    </row>
    <row r="1971" spans="1:2" x14ac:dyDescent="0.25">
      <c r="A1971" s="73"/>
      <c r="B1971" s="73"/>
    </row>
    <row r="1972" spans="1:2" x14ac:dyDescent="0.25">
      <c r="A1972" s="73"/>
      <c r="B1972" s="73"/>
    </row>
    <row r="1973" spans="1:2" x14ac:dyDescent="0.25">
      <c r="A1973" s="73"/>
      <c r="B1973" s="73"/>
    </row>
    <row r="1974" spans="1:2" x14ac:dyDescent="0.25">
      <c r="A1974" s="73"/>
      <c r="B1974" s="73"/>
    </row>
    <row r="1975" spans="1:2" x14ac:dyDescent="0.25">
      <c r="A1975" s="73"/>
      <c r="B1975" s="73"/>
    </row>
    <row r="1976" spans="1:2" x14ac:dyDescent="0.25">
      <c r="A1976" s="73"/>
      <c r="B1976" s="73"/>
    </row>
    <row r="1977" spans="1:2" x14ac:dyDescent="0.25">
      <c r="A1977" s="73"/>
      <c r="B1977" s="73"/>
    </row>
    <row r="1978" spans="1:2" x14ac:dyDescent="0.25">
      <c r="A1978" s="73"/>
      <c r="B1978" s="73"/>
    </row>
    <row r="1979" spans="1:2" x14ac:dyDescent="0.25">
      <c r="A1979" s="73"/>
      <c r="B1979" s="73"/>
    </row>
    <row r="1980" spans="1:2" x14ac:dyDescent="0.25">
      <c r="A1980" s="73"/>
      <c r="B1980" s="73"/>
    </row>
    <row r="1981" spans="1:2" x14ac:dyDescent="0.25">
      <c r="A1981" s="73"/>
      <c r="B1981" s="73"/>
    </row>
    <row r="1982" spans="1:2" x14ac:dyDescent="0.25">
      <c r="A1982" s="73"/>
      <c r="B1982" s="73"/>
    </row>
    <row r="1983" spans="1:2" x14ac:dyDescent="0.25">
      <c r="A1983" s="73"/>
      <c r="B1983" s="73"/>
    </row>
    <row r="1984" spans="1:2" x14ac:dyDescent="0.25">
      <c r="A1984" s="73"/>
      <c r="B1984" s="73"/>
    </row>
    <row r="1985" spans="1:2" x14ac:dyDescent="0.25">
      <c r="A1985" s="73"/>
      <c r="B1985" s="73"/>
    </row>
    <row r="1986" spans="1:2" x14ac:dyDescent="0.25">
      <c r="A1986" s="73"/>
      <c r="B1986" s="73"/>
    </row>
    <row r="1987" spans="1:2" x14ac:dyDescent="0.25">
      <c r="A1987" s="73"/>
      <c r="B1987" s="73"/>
    </row>
    <row r="1988" spans="1:2" x14ac:dyDescent="0.25">
      <c r="A1988" s="73"/>
      <c r="B1988" s="73"/>
    </row>
    <row r="1989" spans="1:2" x14ac:dyDescent="0.25">
      <c r="A1989" s="73"/>
      <c r="B1989" s="73"/>
    </row>
    <row r="1990" spans="1:2" x14ac:dyDescent="0.25">
      <c r="A1990" s="73"/>
      <c r="B1990" s="73"/>
    </row>
    <row r="1991" spans="1:2" x14ac:dyDescent="0.25">
      <c r="A1991" s="73"/>
      <c r="B1991" s="73"/>
    </row>
    <row r="1992" spans="1:2" x14ac:dyDescent="0.25">
      <c r="A1992" s="73"/>
      <c r="B1992" s="73"/>
    </row>
    <row r="1993" spans="1:2" x14ac:dyDescent="0.25">
      <c r="A1993" s="73"/>
      <c r="B1993" s="73"/>
    </row>
    <row r="1994" spans="1:2" x14ac:dyDescent="0.25">
      <c r="A1994" s="73"/>
      <c r="B1994" s="73"/>
    </row>
    <row r="1995" spans="1:2" x14ac:dyDescent="0.25">
      <c r="A1995" s="73"/>
      <c r="B1995" s="73"/>
    </row>
    <row r="1996" spans="1:2" x14ac:dyDescent="0.25">
      <c r="A1996" s="73"/>
      <c r="B1996" s="73"/>
    </row>
    <row r="1997" spans="1:2" x14ac:dyDescent="0.25">
      <c r="A1997" s="73"/>
      <c r="B1997" s="73"/>
    </row>
    <row r="1998" spans="1:2" x14ac:dyDescent="0.25">
      <c r="A1998" s="73"/>
      <c r="B1998" s="73"/>
    </row>
    <row r="1999" spans="1:2" x14ac:dyDescent="0.25">
      <c r="A1999" s="73"/>
      <c r="B1999" s="73"/>
    </row>
    <row r="2000" spans="1:2" x14ac:dyDescent="0.25">
      <c r="A2000" s="73"/>
      <c r="B2000" s="73"/>
    </row>
    <row r="2001" spans="1:2" x14ac:dyDescent="0.25">
      <c r="A2001" s="73"/>
      <c r="B2001" s="73"/>
    </row>
    <row r="2002" spans="1:2" x14ac:dyDescent="0.25">
      <c r="A2002" s="73"/>
      <c r="B2002" s="73"/>
    </row>
    <row r="2003" spans="1:2" x14ac:dyDescent="0.25">
      <c r="A2003" s="73"/>
      <c r="B2003" s="73"/>
    </row>
    <row r="2004" spans="1:2" x14ac:dyDescent="0.25">
      <c r="A2004" s="73"/>
      <c r="B2004" s="73"/>
    </row>
    <row r="2005" spans="1:2" x14ac:dyDescent="0.25">
      <c r="A2005" s="73"/>
      <c r="B2005" s="73"/>
    </row>
    <row r="2006" spans="1:2" x14ac:dyDescent="0.25">
      <c r="A2006" s="73"/>
      <c r="B2006" s="73"/>
    </row>
    <row r="2007" spans="1:2" x14ac:dyDescent="0.25">
      <c r="A2007" s="73"/>
      <c r="B2007" s="73"/>
    </row>
    <row r="2008" spans="1:2" x14ac:dyDescent="0.25">
      <c r="A2008" s="73"/>
      <c r="B2008" s="73"/>
    </row>
    <row r="2009" spans="1:2" x14ac:dyDescent="0.25">
      <c r="A2009" s="73"/>
      <c r="B2009" s="73"/>
    </row>
    <row r="2010" spans="1:2" x14ac:dyDescent="0.25">
      <c r="A2010" s="73"/>
      <c r="B2010" s="73"/>
    </row>
    <row r="2011" spans="1:2" x14ac:dyDescent="0.25">
      <c r="A2011" s="73"/>
      <c r="B2011" s="73"/>
    </row>
    <row r="2012" spans="1:2" x14ac:dyDescent="0.25">
      <c r="A2012" s="73"/>
      <c r="B2012" s="73"/>
    </row>
    <row r="2013" spans="1:2" x14ac:dyDescent="0.25">
      <c r="A2013" s="73"/>
      <c r="B2013" s="73"/>
    </row>
    <row r="2014" spans="1:2" x14ac:dyDescent="0.25">
      <c r="A2014" s="73"/>
      <c r="B2014" s="73"/>
    </row>
    <row r="2015" spans="1:2" x14ac:dyDescent="0.25">
      <c r="A2015" s="73"/>
      <c r="B2015" s="73"/>
    </row>
    <row r="2016" spans="1:2" x14ac:dyDescent="0.25">
      <c r="A2016" s="73"/>
      <c r="B2016" s="73"/>
    </row>
    <row r="2017" spans="1:2" x14ac:dyDescent="0.25">
      <c r="A2017" s="73"/>
      <c r="B2017" s="73"/>
    </row>
    <row r="2018" spans="1:2" x14ac:dyDescent="0.25">
      <c r="A2018" s="73"/>
      <c r="B2018" s="73"/>
    </row>
    <row r="2019" spans="1:2" x14ac:dyDescent="0.25">
      <c r="A2019" s="73"/>
      <c r="B2019" s="73"/>
    </row>
    <row r="2020" spans="1:2" x14ac:dyDescent="0.25">
      <c r="A2020" s="73"/>
      <c r="B2020" s="73"/>
    </row>
    <row r="2021" spans="1:2" x14ac:dyDescent="0.25">
      <c r="A2021" s="73"/>
      <c r="B2021" s="73"/>
    </row>
    <row r="2022" spans="1:2" x14ac:dyDescent="0.25">
      <c r="A2022" s="73"/>
      <c r="B2022" s="73"/>
    </row>
    <row r="2023" spans="1:2" x14ac:dyDescent="0.25">
      <c r="A2023" s="73"/>
      <c r="B2023" s="73"/>
    </row>
    <row r="2024" spans="1:2" x14ac:dyDescent="0.25">
      <c r="A2024" s="73"/>
      <c r="B2024" s="73"/>
    </row>
    <row r="2025" spans="1:2" x14ac:dyDescent="0.25">
      <c r="A2025" s="73"/>
      <c r="B2025" s="73"/>
    </row>
    <row r="2026" spans="1:2" x14ac:dyDescent="0.25">
      <c r="A2026" s="73"/>
      <c r="B2026" s="73"/>
    </row>
    <row r="2027" spans="1:2" x14ac:dyDescent="0.25">
      <c r="A2027" s="73"/>
      <c r="B2027" s="73"/>
    </row>
    <row r="2028" spans="1:2" x14ac:dyDescent="0.25">
      <c r="A2028" s="73"/>
      <c r="B2028" s="73"/>
    </row>
    <row r="2029" spans="1:2" x14ac:dyDescent="0.25">
      <c r="A2029" s="73"/>
      <c r="B2029" s="73"/>
    </row>
    <row r="2030" spans="1:2" x14ac:dyDescent="0.25">
      <c r="A2030" s="73"/>
      <c r="B2030" s="73"/>
    </row>
    <row r="2031" spans="1:2" x14ac:dyDescent="0.25">
      <c r="A2031" s="73"/>
      <c r="B2031" s="73"/>
    </row>
    <row r="2032" spans="1:2" x14ac:dyDescent="0.25">
      <c r="A2032" s="73"/>
      <c r="B2032" s="73"/>
    </row>
    <row r="2033" spans="1:2" x14ac:dyDescent="0.25">
      <c r="A2033" s="73"/>
      <c r="B2033" s="73"/>
    </row>
    <row r="2034" spans="1:2" x14ac:dyDescent="0.25">
      <c r="A2034" s="73"/>
      <c r="B2034" s="73"/>
    </row>
    <row r="2035" spans="1:2" x14ac:dyDescent="0.25">
      <c r="A2035" s="73"/>
      <c r="B2035" s="73"/>
    </row>
    <row r="2036" spans="1:2" x14ac:dyDescent="0.25">
      <c r="A2036" s="73"/>
      <c r="B2036" s="73"/>
    </row>
    <row r="2037" spans="1:2" x14ac:dyDescent="0.25">
      <c r="A2037" s="73"/>
      <c r="B2037" s="73"/>
    </row>
    <row r="2038" spans="1:2" x14ac:dyDescent="0.25">
      <c r="A2038" s="73"/>
      <c r="B2038" s="73"/>
    </row>
    <row r="2039" spans="1:2" x14ac:dyDescent="0.25">
      <c r="A2039" s="73"/>
      <c r="B2039" s="73"/>
    </row>
    <row r="2040" spans="1:2" x14ac:dyDescent="0.25">
      <c r="A2040" s="73"/>
      <c r="B2040" s="73"/>
    </row>
    <row r="2041" spans="1:2" x14ac:dyDescent="0.25">
      <c r="A2041" s="73"/>
      <c r="B2041" s="73"/>
    </row>
    <row r="2042" spans="1:2" x14ac:dyDescent="0.25">
      <c r="A2042" s="73"/>
      <c r="B2042" s="73"/>
    </row>
    <row r="2043" spans="1:2" x14ac:dyDescent="0.25">
      <c r="A2043" s="73"/>
      <c r="B2043" s="73"/>
    </row>
    <row r="2044" spans="1:2" x14ac:dyDescent="0.25">
      <c r="A2044" s="73"/>
      <c r="B2044" s="73"/>
    </row>
    <row r="2045" spans="1:2" x14ac:dyDescent="0.25">
      <c r="A2045" s="73"/>
      <c r="B2045" s="73"/>
    </row>
    <row r="2046" spans="1:2" x14ac:dyDescent="0.25">
      <c r="A2046" s="73"/>
      <c r="B2046" s="73"/>
    </row>
    <row r="2047" spans="1:2" x14ac:dyDescent="0.25">
      <c r="A2047" s="73"/>
      <c r="B2047" s="73"/>
    </row>
    <row r="2048" spans="1:2" x14ac:dyDescent="0.25">
      <c r="A2048" s="73"/>
      <c r="B2048" s="73"/>
    </row>
    <row r="2049" spans="1:2" x14ac:dyDescent="0.25">
      <c r="A2049" s="73"/>
      <c r="B2049" s="73"/>
    </row>
    <row r="2050" spans="1:2" x14ac:dyDescent="0.25">
      <c r="A2050" s="73"/>
      <c r="B2050" s="73"/>
    </row>
    <row r="2051" spans="1:2" x14ac:dyDescent="0.25">
      <c r="A2051" s="73"/>
      <c r="B2051" s="73"/>
    </row>
    <row r="2052" spans="1:2" x14ac:dyDescent="0.25">
      <c r="A2052" s="73"/>
      <c r="B2052" s="73"/>
    </row>
    <row r="2053" spans="1:2" x14ac:dyDescent="0.25">
      <c r="A2053" s="73"/>
      <c r="B2053" s="73"/>
    </row>
    <row r="2054" spans="1:2" x14ac:dyDescent="0.25">
      <c r="A2054" s="73"/>
      <c r="B2054" s="73"/>
    </row>
    <row r="2055" spans="1:2" x14ac:dyDescent="0.25">
      <c r="A2055" s="73"/>
      <c r="B2055" s="73"/>
    </row>
    <row r="2056" spans="1:2" x14ac:dyDescent="0.25">
      <c r="A2056" s="73"/>
      <c r="B2056" s="73"/>
    </row>
    <row r="2057" spans="1:2" x14ac:dyDescent="0.25">
      <c r="A2057" s="73"/>
      <c r="B2057" s="73"/>
    </row>
    <row r="2058" spans="1:2" x14ac:dyDescent="0.25">
      <c r="A2058" s="73"/>
      <c r="B2058" s="73"/>
    </row>
    <row r="2059" spans="1:2" x14ac:dyDescent="0.25">
      <c r="A2059" s="73"/>
      <c r="B2059" s="73"/>
    </row>
    <row r="2060" spans="1:2" x14ac:dyDescent="0.25">
      <c r="A2060" s="73"/>
      <c r="B2060" s="73"/>
    </row>
    <row r="2061" spans="1:2" x14ac:dyDescent="0.25">
      <c r="A2061" s="73"/>
      <c r="B2061" s="73"/>
    </row>
    <row r="2062" spans="1:2" x14ac:dyDescent="0.25">
      <c r="A2062" s="73"/>
      <c r="B2062" s="73"/>
    </row>
    <row r="2063" spans="1:2" x14ac:dyDescent="0.25">
      <c r="A2063" s="73"/>
      <c r="B2063" s="73"/>
    </row>
    <row r="2064" spans="1:2" x14ac:dyDescent="0.25">
      <c r="A2064" s="73"/>
      <c r="B2064" s="73"/>
    </row>
    <row r="2065" spans="1:2" x14ac:dyDescent="0.25">
      <c r="A2065" s="73"/>
      <c r="B2065" s="73"/>
    </row>
    <row r="2066" spans="1:2" x14ac:dyDescent="0.25">
      <c r="A2066" s="73"/>
      <c r="B2066" s="73"/>
    </row>
    <row r="2067" spans="1:2" x14ac:dyDescent="0.25">
      <c r="A2067" s="73"/>
      <c r="B2067" s="73"/>
    </row>
    <row r="2068" spans="1:2" x14ac:dyDescent="0.25">
      <c r="A2068" s="73"/>
      <c r="B2068" s="73"/>
    </row>
    <row r="2069" spans="1:2" x14ac:dyDescent="0.25">
      <c r="A2069" s="73"/>
      <c r="B2069" s="73"/>
    </row>
    <row r="2070" spans="1:2" x14ac:dyDescent="0.25">
      <c r="A2070" s="73"/>
      <c r="B2070" s="73"/>
    </row>
    <row r="2071" spans="1:2" x14ac:dyDescent="0.25">
      <c r="A2071" s="73"/>
      <c r="B2071" s="73"/>
    </row>
    <row r="2072" spans="1:2" x14ac:dyDescent="0.25">
      <c r="A2072" s="73"/>
      <c r="B2072" s="73"/>
    </row>
    <row r="2073" spans="1:2" x14ac:dyDescent="0.25">
      <c r="A2073" s="73"/>
      <c r="B2073" s="73"/>
    </row>
    <row r="2074" spans="1:2" x14ac:dyDescent="0.25">
      <c r="A2074" s="73"/>
      <c r="B2074" s="73"/>
    </row>
    <row r="2075" spans="1:2" x14ac:dyDescent="0.25">
      <c r="A2075" s="73"/>
      <c r="B2075" s="73"/>
    </row>
    <row r="2076" spans="1:2" x14ac:dyDescent="0.25">
      <c r="A2076" s="73"/>
      <c r="B2076" s="73"/>
    </row>
    <row r="2077" spans="1:2" x14ac:dyDescent="0.25">
      <c r="A2077" s="73"/>
      <c r="B2077" s="73"/>
    </row>
    <row r="2078" spans="1:2" x14ac:dyDescent="0.25">
      <c r="A2078" s="73"/>
      <c r="B2078" s="73"/>
    </row>
    <row r="2079" spans="1:2" x14ac:dyDescent="0.25">
      <c r="A2079" s="73"/>
      <c r="B2079" s="73"/>
    </row>
    <row r="2080" spans="1:2" x14ac:dyDescent="0.25">
      <c r="A2080" s="73"/>
      <c r="B2080" s="73"/>
    </row>
    <row r="2081" spans="1:2" x14ac:dyDescent="0.25">
      <c r="A2081" s="73"/>
      <c r="B2081" s="73"/>
    </row>
    <row r="2082" spans="1:2" x14ac:dyDescent="0.25">
      <c r="A2082" s="73"/>
      <c r="B2082" s="73"/>
    </row>
    <row r="2083" spans="1:2" x14ac:dyDescent="0.25">
      <c r="A2083" s="73"/>
      <c r="B2083" s="73"/>
    </row>
    <row r="2084" spans="1:2" x14ac:dyDescent="0.25">
      <c r="A2084" s="73"/>
      <c r="B2084" s="73"/>
    </row>
    <row r="2085" spans="1:2" x14ac:dyDescent="0.25">
      <c r="A2085" s="73"/>
      <c r="B2085" s="73"/>
    </row>
    <row r="2086" spans="1:2" x14ac:dyDescent="0.25">
      <c r="A2086" s="73"/>
      <c r="B2086" s="73"/>
    </row>
    <row r="2087" spans="1:2" x14ac:dyDescent="0.25">
      <c r="A2087" s="73"/>
      <c r="B2087" s="73"/>
    </row>
    <row r="2088" spans="1:2" x14ac:dyDescent="0.25">
      <c r="A2088" s="73"/>
      <c r="B2088" s="73"/>
    </row>
    <row r="2089" spans="1:2" x14ac:dyDescent="0.25">
      <c r="A2089" s="73"/>
      <c r="B2089" s="73"/>
    </row>
    <row r="2090" spans="1:2" x14ac:dyDescent="0.25">
      <c r="A2090" s="73"/>
      <c r="B2090" s="73"/>
    </row>
    <row r="2091" spans="1:2" x14ac:dyDescent="0.25">
      <c r="A2091" s="73"/>
      <c r="B2091" s="73"/>
    </row>
    <row r="2092" spans="1:2" x14ac:dyDescent="0.25">
      <c r="A2092" s="73"/>
      <c r="B2092" s="73"/>
    </row>
    <row r="2093" spans="1:2" x14ac:dyDescent="0.25">
      <c r="A2093" s="73"/>
      <c r="B2093" s="73"/>
    </row>
    <row r="2094" spans="1:2" x14ac:dyDescent="0.25">
      <c r="A2094" s="73"/>
      <c r="B2094" s="73"/>
    </row>
    <row r="2095" spans="1:2" x14ac:dyDescent="0.25">
      <c r="A2095" s="73"/>
      <c r="B2095" s="73"/>
    </row>
    <row r="2096" spans="1:2" x14ac:dyDescent="0.25">
      <c r="A2096" s="73"/>
      <c r="B2096" s="73"/>
    </row>
    <row r="2097" spans="1:2" x14ac:dyDescent="0.25">
      <c r="A2097" s="73"/>
      <c r="B2097" s="73"/>
    </row>
    <row r="2098" spans="1:2" x14ac:dyDescent="0.25">
      <c r="A2098" s="73"/>
      <c r="B2098" s="73"/>
    </row>
    <row r="2099" spans="1:2" x14ac:dyDescent="0.25">
      <c r="A2099" s="73"/>
      <c r="B2099" s="73"/>
    </row>
    <row r="2100" spans="1:2" x14ac:dyDescent="0.25">
      <c r="A2100" s="73"/>
      <c r="B2100" s="73"/>
    </row>
    <row r="2101" spans="1:2" x14ac:dyDescent="0.25">
      <c r="A2101" s="73"/>
      <c r="B2101" s="73"/>
    </row>
    <row r="2102" spans="1:2" x14ac:dyDescent="0.25">
      <c r="A2102" s="73"/>
      <c r="B2102" s="73"/>
    </row>
    <row r="2103" spans="1:2" x14ac:dyDescent="0.25">
      <c r="A2103" s="73"/>
      <c r="B2103" s="73"/>
    </row>
    <row r="2104" spans="1:2" x14ac:dyDescent="0.25">
      <c r="A2104" s="73"/>
      <c r="B2104" s="73"/>
    </row>
    <row r="2105" spans="1:2" x14ac:dyDescent="0.25">
      <c r="A2105" s="73"/>
      <c r="B2105" s="73"/>
    </row>
    <row r="2106" spans="1:2" x14ac:dyDescent="0.25">
      <c r="A2106" s="73"/>
      <c r="B2106" s="73"/>
    </row>
    <row r="2107" spans="1:2" x14ac:dyDescent="0.25">
      <c r="A2107" s="73"/>
      <c r="B2107" s="73"/>
    </row>
    <row r="2108" spans="1:2" x14ac:dyDescent="0.25">
      <c r="A2108" s="73"/>
      <c r="B2108" s="73"/>
    </row>
    <row r="2109" spans="1:2" x14ac:dyDescent="0.25">
      <c r="A2109" s="73"/>
      <c r="B2109" s="73"/>
    </row>
    <row r="2110" spans="1:2" x14ac:dyDescent="0.25">
      <c r="A2110" s="73"/>
      <c r="B2110" s="73"/>
    </row>
    <row r="2111" spans="1:2" x14ac:dyDescent="0.25">
      <c r="A2111" s="73"/>
      <c r="B2111" s="73"/>
    </row>
    <row r="2112" spans="1:2" x14ac:dyDescent="0.25">
      <c r="A2112" s="73"/>
      <c r="B2112" s="73"/>
    </row>
    <row r="2113" spans="1:2" x14ac:dyDescent="0.25">
      <c r="A2113" s="73"/>
      <c r="B2113" s="73"/>
    </row>
    <row r="2114" spans="1:2" x14ac:dyDescent="0.25">
      <c r="A2114" s="73"/>
      <c r="B2114" s="73"/>
    </row>
    <row r="2115" spans="1:2" x14ac:dyDescent="0.25">
      <c r="A2115" s="73"/>
      <c r="B2115" s="73"/>
    </row>
    <row r="2116" spans="1:2" x14ac:dyDescent="0.25">
      <c r="A2116" s="73"/>
      <c r="B2116" s="73"/>
    </row>
    <row r="2117" spans="1:2" x14ac:dyDescent="0.25">
      <c r="A2117" s="73"/>
      <c r="B2117" s="73"/>
    </row>
    <row r="2118" spans="1:2" x14ac:dyDescent="0.25">
      <c r="A2118" s="73"/>
      <c r="B2118" s="73"/>
    </row>
    <row r="2119" spans="1:2" x14ac:dyDescent="0.25">
      <c r="A2119" s="73"/>
      <c r="B2119" s="73"/>
    </row>
    <row r="2120" spans="1:2" x14ac:dyDescent="0.25">
      <c r="A2120" s="73"/>
      <c r="B2120" s="73"/>
    </row>
    <row r="2121" spans="1:2" x14ac:dyDescent="0.25">
      <c r="A2121" s="73"/>
      <c r="B2121" s="73"/>
    </row>
    <row r="2122" spans="1:2" x14ac:dyDescent="0.25">
      <c r="A2122" s="73"/>
      <c r="B2122" s="73"/>
    </row>
    <row r="2123" spans="1:2" x14ac:dyDescent="0.25">
      <c r="A2123" s="73"/>
      <c r="B2123" s="73"/>
    </row>
    <row r="2124" spans="1:2" x14ac:dyDescent="0.25">
      <c r="A2124" s="73"/>
      <c r="B2124" s="73"/>
    </row>
    <row r="2125" spans="1:2" x14ac:dyDescent="0.25">
      <c r="A2125" s="73"/>
      <c r="B2125" s="73"/>
    </row>
    <row r="2126" spans="1:2" x14ac:dyDescent="0.25">
      <c r="A2126" s="73"/>
      <c r="B2126" s="73"/>
    </row>
    <row r="2127" spans="1:2" x14ac:dyDescent="0.25">
      <c r="A2127" s="73"/>
      <c r="B2127" s="73"/>
    </row>
    <row r="2128" spans="1:2" x14ac:dyDescent="0.25">
      <c r="A2128" s="73"/>
      <c r="B2128" s="73"/>
    </row>
    <row r="2129" spans="1:2" x14ac:dyDescent="0.25">
      <c r="A2129" s="73"/>
      <c r="B2129" s="73"/>
    </row>
    <row r="2130" spans="1:2" x14ac:dyDescent="0.25">
      <c r="A2130" s="73"/>
      <c r="B2130" s="73"/>
    </row>
    <row r="2131" spans="1:2" x14ac:dyDescent="0.25">
      <c r="A2131" s="73"/>
      <c r="B2131" s="73"/>
    </row>
    <row r="2132" spans="1:2" x14ac:dyDescent="0.25">
      <c r="A2132" s="73"/>
      <c r="B2132" s="73"/>
    </row>
    <row r="2133" spans="1:2" x14ac:dyDescent="0.25">
      <c r="A2133" s="73"/>
      <c r="B2133" s="73"/>
    </row>
    <row r="2134" spans="1:2" x14ac:dyDescent="0.25">
      <c r="A2134" s="73"/>
      <c r="B2134" s="73"/>
    </row>
    <row r="2135" spans="1:2" x14ac:dyDescent="0.25">
      <c r="A2135" s="73"/>
      <c r="B2135" s="73"/>
    </row>
    <row r="2136" spans="1:2" x14ac:dyDescent="0.25">
      <c r="A2136" s="73"/>
      <c r="B2136" s="73"/>
    </row>
    <row r="2137" spans="1:2" x14ac:dyDescent="0.25">
      <c r="A2137" s="73"/>
      <c r="B2137" s="73"/>
    </row>
    <row r="2138" spans="1:2" x14ac:dyDescent="0.25">
      <c r="A2138" s="73"/>
      <c r="B2138" s="73"/>
    </row>
    <row r="2139" spans="1:2" x14ac:dyDescent="0.25">
      <c r="A2139" s="73"/>
      <c r="B2139" s="73"/>
    </row>
    <row r="2140" spans="1:2" x14ac:dyDescent="0.25">
      <c r="A2140" s="73"/>
      <c r="B2140" s="73"/>
    </row>
    <row r="2141" spans="1:2" x14ac:dyDescent="0.25">
      <c r="A2141" s="73"/>
      <c r="B2141" s="73"/>
    </row>
    <row r="2142" spans="1:2" x14ac:dyDescent="0.25">
      <c r="A2142" s="73"/>
      <c r="B2142" s="73"/>
    </row>
    <row r="2143" spans="1:2" x14ac:dyDescent="0.25">
      <c r="A2143" s="73"/>
      <c r="B2143" s="73"/>
    </row>
    <row r="2144" spans="1:2" x14ac:dyDescent="0.25">
      <c r="A2144" s="73"/>
      <c r="B2144" s="73"/>
    </row>
    <row r="2145" spans="1:2" x14ac:dyDescent="0.25">
      <c r="A2145" s="73"/>
      <c r="B2145" s="73"/>
    </row>
    <row r="2146" spans="1:2" x14ac:dyDescent="0.25">
      <c r="A2146" s="73"/>
      <c r="B2146" s="73"/>
    </row>
    <row r="2147" spans="1:2" x14ac:dyDescent="0.25">
      <c r="A2147" s="73"/>
      <c r="B2147" s="73"/>
    </row>
    <row r="2148" spans="1:2" x14ac:dyDescent="0.25">
      <c r="A2148" s="73"/>
      <c r="B2148" s="73"/>
    </row>
    <row r="2149" spans="1:2" x14ac:dyDescent="0.25">
      <c r="A2149" s="73"/>
      <c r="B2149" s="73"/>
    </row>
    <row r="2150" spans="1:2" x14ac:dyDescent="0.25">
      <c r="A2150" s="73"/>
      <c r="B2150" s="73"/>
    </row>
    <row r="2151" spans="1:2" x14ac:dyDescent="0.25">
      <c r="A2151" s="73"/>
      <c r="B2151" s="73"/>
    </row>
    <row r="2152" spans="1:2" x14ac:dyDescent="0.25">
      <c r="A2152" s="73"/>
      <c r="B2152" s="73"/>
    </row>
    <row r="2153" spans="1:2" x14ac:dyDescent="0.25">
      <c r="A2153" s="73"/>
      <c r="B2153" s="73"/>
    </row>
    <row r="2154" spans="1:2" x14ac:dyDescent="0.25">
      <c r="A2154" s="73"/>
      <c r="B2154" s="73"/>
    </row>
    <row r="2155" spans="1:2" x14ac:dyDescent="0.25">
      <c r="A2155" s="73"/>
      <c r="B2155" s="73"/>
    </row>
    <row r="2156" spans="1:2" x14ac:dyDescent="0.25">
      <c r="A2156" s="73"/>
      <c r="B2156" s="73"/>
    </row>
    <row r="2157" spans="1:2" x14ac:dyDescent="0.25">
      <c r="A2157" s="73"/>
      <c r="B2157" s="73"/>
    </row>
    <row r="2158" spans="1:2" x14ac:dyDescent="0.25">
      <c r="A2158" s="73"/>
      <c r="B2158" s="73"/>
    </row>
    <row r="2159" spans="1:2" x14ac:dyDescent="0.25">
      <c r="A2159" s="73"/>
      <c r="B2159" s="73"/>
    </row>
    <row r="2160" spans="1:2" x14ac:dyDescent="0.25">
      <c r="A2160" s="73"/>
      <c r="B2160" s="73"/>
    </row>
    <row r="2161" spans="1:2" x14ac:dyDescent="0.25">
      <c r="A2161" s="73"/>
      <c r="B2161" s="73"/>
    </row>
    <row r="2162" spans="1:2" x14ac:dyDescent="0.25">
      <c r="A2162" s="73"/>
      <c r="B2162" s="73"/>
    </row>
    <row r="2163" spans="1:2" x14ac:dyDescent="0.25">
      <c r="A2163" s="73"/>
      <c r="B2163" s="73"/>
    </row>
    <row r="2164" spans="1:2" x14ac:dyDescent="0.25">
      <c r="A2164" s="73"/>
      <c r="B2164" s="73"/>
    </row>
    <row r="2165" spans="1:2" x14ac:dyDescent="0.25">
      <c r="A2165" s="73"/>
      <c r="B2165" s="73"/>
    </row>
    <row r="2166" spans="1:2" x14ac:dyDescent="0.25">
      <c r="A2166" s="73"/>
      <c r="B2166" s="73"/>
    </row>
    <row r="2167" spans="1:2" x14ac:dyDescent="0.25">
      <c r="A2167" s="73"/>
      <c r="B2167" s="73"/>
    </row>
    <row r="2168" spans="1:2" x14ac:dyDescent="0.25">
      <c r="A2168" s="73"/>
      <c r="B2168" s="73"/>
    </row>
    <row r="2169" spans="1:2" x14ac:dyDescent="0.25">
      <c r="A2169" s="73"/>
      <c r="B2169" s="73"/>
    </row>
    <row r="2170" spans="1:2" x14ac:dyDescent="0.25">
      <c r="A2170" s="73"/>
      <c r="B2170" s="73"/>
    </row>
    <row r="2171" spans="1:2" x14ac:dyDescent="0.25">
      <c r="A2171" s="73"/>
      <c r="B2171" s="73"/>
    </row>
    <row r="2172" spans="1:2" x14ac:dyDescent="0.25">
      <c r="A2172" s="73"/>
      <c r="B2172" s="73"/>
    </row>
    <row r="2173" spans="1:2" x14ac:dyDescent="0.25">
      <c r="A2173" s="73"/>
      <c r="B2173" s="73"/>
    </row>
    <row r="2174" spans="1:2" x14ac:dyDescent="0.25">
      <c r="A2174" s="73"/>
      <c r="B2174" s="73"/>
    </row>
    <row r="2175" spans="1:2" x14ac:dyDescent="0.25">
      <c r="A2175" s="73"/>
      <c r="B2175" s="73"/>
    </row>
    <row r="2176" spans="1:2" x14ac:dyDescent="0.25">
      <c r="A2176" s="73"/>
      <c r="B2176" s="73"/>
    </row>
    <row r="2177" spans="1:2" x14ac:dyDescent="0.25">
      <c r="A2177" s="73"/>
      <c r="B2177" s="73"/>
    </row>
    <row r="2178" spans="1:2" x14ac:dyDescent="0.25">
      <c r="A2178" s="73"/>
      <c r="B2178" s="73"/>
    </row>
    <row r="2179" spans="1:2" x14ac:dyDescent="0.25">
      <c r="A2179" s="73"/>
      <c r="B2179" s="73"/>
    </row>
    <row r="2180" spans="1:2" x14ac:dyDescent="0.25">
      <c r="A2180" s="73"/>
      <c r="B2180" s="73"/>
    </row>
    <row r="2181" spans="1:2" x14ac:dyDescent="0.25">
      <c r="A2181" s="73"/>
      <c r="B2181" s="73"/>
    </row>
    <row r="2182" spans="1:2" x14ac:dyDescent="0.25">
      <c r="A2182" s="73"/>
      <c r="B2182" s="73"/>
    </row>
    <row r="2183" spans="1:2" x14ac:dyDescent="0.25">
      <c r="A2183" s="73"/>
      <c r="B2183" s="73"/>
    </row>
    <row r="2184" spans="1:2" x14ac:dyDescent="0.25">
      <c r="A2184" s="73"/>
      <c r="B2184" s="73"/>
    </row>
    <row r="2185" spans="1:2" x14ac:dyDescent="0.25">
      <c r="A2185" s="73"/>
      <c r="B2185" s="73"/>
    </row>
    <row r="2186" spans="1:2" x14ac:dyDescent="0.25">
      <c r="A2186" s="73"/>
      <c r="B2186" s="73"/>
    </row>
    <row r="2187" spans="1:2" x14ac:dyDescent="0.25">
      <c r="A2187" s="73"/>
      <c r="B2187" s="73"/>
    </row>
    <row r="2188" spans="1:2" x14ac:dyDescent="0.25">
      <c r="A2188" s="73"/>
      <c r="B2188" s="73"/>
    </row>
    <row r="2189" spans="1:2" x14ac:dyDescent="0.25">
      <c r="A2189" s="73"/>
      <c r="B2189" s="73"/>
    </row>
    <row r="2190" spans="1:2" x14ac:dyDescent="0.25">
      <c r="A2190" s="73"/>
      <c r="B2190" s="73"/>
    </row>
    <row r="2191" spans="1:2" x14ac:dyDescent="0.25">
      <c r="A2191" s="73"/>
      <c r="B2191" s="73"/>
    </row>
    <row r="2192" spans="1:2" x14ac:dyDescent="0.25">
      <c r="A2192" s="73"/>
      <c r="B2192" s="73"/>
    </row>
    <row r="2193" spans="1:2" x14ac:dyDescent="0.25">
      <c r="A2193" s="73"/>
      <c r="B2193" s="73"/>
    </row>
    <row r="2194" spans="1:2" x14ac:dyDescent="0.25">
      <c r="A2194" s="73"/>
      <c r="B2194" s="73"/>
    </row>
    <row r="2195" spans="1:2" x14ac:dyDescent="0.25">
      <c r="A2195" s="73"/>
      <c r="B2195" s="73"/>
    </row>
    <row r="2196" spans="1:2" x14ac:dyDescent="0.25">
      <c r="A2196" s="73"/>
      <c r="B2196" s="73"/>
    </row>
    <row r="2197" spans="1:2" x14ac:dyDescent="0.25">
      <c r="A2197" s="73"/>
      <c r="B2197" s="73"/>
    </row>
    <row r="2198" spans="1:2" x14ac:dyDescent="0.25">
      <c r="A2198" s="73"/>
      <c r="B2198" s="73"/>
    </row>
    <row r="2199" spans="1:2" x14ac:dyDescent="0.25">
      <c r="A2199" s="73"/>
      <c r="B2199" s="73"/>
    </row>
    <row r="2200" spans="1:2" x14ac:dyDescent="0.25">
      <c r="A2200" s="73"/>
      <c r="B2200" s="73"/>
    </row>
    <row r="2201" spans="1:2" x14ac:dyDescent="0.25">
      <c r="A2201" s="73"/>
      <c r="B2201" s="73"/>
    </row>
    <row r="2202" spans="1:2" x14ac:dyDescent="0.25">
      <c r="A2202" s="73"/>
      <c r="B2202" s="73"/>
    </row>
    <row r="2203" spans="1:2" x14ac:dyDescent="0.25">
      <c r="A2203" s="73"/>
      <c r="B2203" s="73"/>
    </row>
    <row r="2204" spans="1:2" x14ac:dyDescent="0.25">
      <c r="A2204" s="73"/>
      <c r="B2204" s="73"/>
    </row>
    <row r="2205" spans="1:2" x14ac:dyDescent="0.25">
      <c r="A2205" s="73"/>
      <c r="B2205" s="73"/>
    </row>
    <row r="2206" spans="1:2" x14ac:dyDescent="0.25">
      <c r="A2206" s="73"/>
      <c r="B2206" s="73"/>
    </row>
    <row r="2207" spans="1:2" x14ac:dyDescent="0.25">
      <c r="A2207" s="73"/>
      <c r="B2207" s="73"/>
    </row>
    <row r="2208" spans="1:2" x14ac:dyDescent="0.25">
      <c r="A2208" s="73"/>
      <c r="B2208" s="73"/>
    </row>
    <row r="2209" spans="1:2" x14ac:dyDescent="0.25">
      <c r="A2209" s="73"/>
      <c r="B2209" s="73"/>
    </row>
    <row r="2210" spans="1:2" x14ac:dyDescent="0.25">
      <c r="A2210" s="73"/>
      <c r="B2210" s="73"/>
    </row>
    <row r="2211" spans="1:2" x14ac:dyDescent="0.25">
      <c r="A2211" s="73"/>
      <c r="B2211" s="73"/>
    </row>
    <row r="2212" spans="1:2" x14ac:dyDescent="0.25">
      <c r="A2212" s="73"/>
      <c r="B2212" s="73"/>
    </row>
    <row r="2213" spans="1:2" x14ac:dyDescent="0.25">
      <c r="A2213" s="73"/>
      <c r="B2213" s="73"/>
    </row>
    <row r="2214" spans="1:2" x14ac:dyDescent="0.25">
      <c r="A2214" s="73"/>
      <c r="B2214" s="73"/>
    </row>
    <row r="2215" spans="1:2" x14ac:dyDescent="0.25">
      <c r="A2215" s="73"/>
      <c r="B2215" s="73"/>
    </row>
    <row r="2216" spans="1:2" x14ac:dyDescent="0.25">
      <c r="A2216" s="73"/>
      <c r="B2216" s="73"/>
    </row>
    <row r="2217" spans="1:2" x14ac:dyDescent="0.25">
      <c r="A2217" s="73"/>
      <c r="B2217" s="73"/>
    </row>
    <row r="2218" spans="1:2" x14ac:dyDescent="0.25">
      <c r="A2218" s="73"/>
      <c r="B2218" s="73"/>
    </row>
    <row r="2219" spans="1:2" x14ac:dyDescent="0.25">
      <c r="A2219" s="73"/>
      <c r="B2219" s="73"/>
    </row>
    <row r="2220" spans="1:2" x14ac:dyDescent="0.25">
      <c r="A2220" s="73"/>
      <c r="B2220" s="73"/>
    </row>
    <row r="2221" spans="1:2" x14ac:dyDescent="0.25">
      <c r="A2221" s="73"/>
      <c r="B2221" s="73"/>
    </row>
    <row r="2222" spans="1:2" x14ac:dyDescent="0.25">
      <c r="A2222" s="73"/>
      <c r="B2222" s="73"/>
    </row>
    <row r="2223" spans="1:2" x14ac:dyDescent="0.25">
      <c r="A2223" s="73"/>
      <c r="B2223" s="73"/>
    </row>
    <row r="2224" spans="1:2" x14ac:dyDescent="0.25">
      <c r="A2224" s="73"/>
      <c r="B2224" s="73"/>
    </row>
    <row r="2225" spans="1:2" x14ac:dyDescent="0.25">
      <c r="A2225" s="73"/>
      <c r="B2225" s="73"/>
    </row>
    <row r="2226" spans="1:2" x14ac:dyDescent="0.25">
      <c r="A2226" s="73"/>
      <c r="B2226" s="73"/>
    </row>
    <row r="2227" spans="1:2" x14ac:dyDescent="0.25">
      <c r="A2227" s="73"/>
      <c r="B2227" s="73"/>
    </row>
    <row r="2228" spans="1:2" x14ac:dyDescent="0.25">
      <c r="A2228" s="73"/>
      <c r="B2228" s="73"/>
    </row>
    <row r="2229" spans="1:2" x14ac:dyDescent="0.25">
      <c r="A2229" s="73"/>
      <c r="B2229" s="73"/>
    </row>
    <row r="2230" spans="1:2" x14ac:dyDescent="0.25">
      <c r="A2230" s="73"/>
      <c r="B2230" s="73"/>
    </row>
    <row r="2231" spans="1:2" x14ac:dyDescent="0.25">
      <c r="A2231" s="73"/>
      <c r="B2231" s="73"/>
    </row>
    <row r="2232" spans="1:2" x14ac:dyDescent="0.25">
      <c r="A2232" s="73"/>
      <c r="B2232" s="73"/>
    </row>
    <row r="2233" spans="1:2" x14ac:dyDescent="0.25">
      <c r="A2233" s="73"/>
      <c r="B2233" s="73"/>
    </row>
    <row r="2234" spans="1:2" x14ac:dyDescent="0.25">
      <c r="A2234" s="73"/>
      <c r="B2234" s="73"/>
    </row>
    <row r="2235" spans="1:2" x14ac:dyDescent="0.25">
      <c r="A2235" s="73"/>
      <c r="B2235" s="73"/>
    </row>
    <row r="2236" spans="1:2" x14ac:dyDescent="0.25">
      <c r="A2236" s="73"/>
      <c r="B2236" s="73"/>
    </row>
    <row r="2237" spans="1:2" x14ac:dyDescent="0.25">
      <c r="A2237" s="73"/>
      <c r="B2237" s="73"/>
    </row>
    <row r="2238" spans="1:2" x14ac:dyDescent="0.25">
      <c r="A2238" s="73"/>
      <c r="B2238" s="73"/>
    </row>
    <row r="2239" spans="1:2" x14ac:dyDescent="0.25">
      <c r="A2239" s="73"/>
      <c r="B2239" s="73"/>
    </row>
    <row r="2240" spans="1:2" x14ac:dyDescent="0.25">
      <c r="A2240" s="73"/>
      <c r="B2240" s="73"/>
    </row>
    <row r="2241" spans="1:2" x14ac:dyDescent="0.25">
      <c r="A2241" s="73"/>
      <c r="B2241" s="73"/>
    </row>
    <row r="2242" spans="1:2" x14ac:dyDescent="0.25">
      <c r="A2242" s="73"/>
      <c r="B2242" s="73"/>
    </row>
    <row r="2243" spans="1:2" x14ac:dyDescent="0.25">
      <c r="A2243" s="73"/>
      <c r="B2243" s="73"/>
    </row>
    <row r="2244" spans="1:2" x14ac:dyDescent="0.25">
      <c r="A2244" s="73"/>
      <c r="B2244" s="73"/>
    </row>
    <row r="2245" spans="1:2" x14ac:dyDescent="0.25">
      <c r="A2245" s="73"/>
      <c r="B2245" s="73"/>
    </row>
    <row r="2246" spans="1:2" x14ac:dyDescent="0.25">
      <c r="A2246" s="73"/>
      <c r="B2246" s="73"/>
    </row>
    <row r="2247" spans="1:2" x14ac:dyDescent="0.25">
      <c r="A2247" s="73"/>
      <c r="B2247" s="73"/>
    </row>
    <row r="2248" spans="1:2" x14ac:dyDescent="0.25">
      <c r="A2248" s="73"/>
      <c r="B2248" s="73"/>
    </row>
    <row r="2249" spans="1:2" x14ac:dyDescent="0.25">
      <c r="A2249" s="73"/>
      <c r="B2249" s="73"/>
    </row>
    <row r="2250" spans="1:2" x14ac:dyDescent="0.25">
      <c r="A2250" s="73"/>
      <c r="B2250" s="73"/>
    </row>
    <row r="2251" spans="1:2" x14ac:dyDescent="0.25">
      <c r="A2251" s="73"/>
      <c r="B2251" s="73"/>
    </row>
    <row r="2252" spans="1:2" x14ac:dyDescent="0.25">
      <c r="A2252" s="73"/>
      <c r="B2252" s="73"/>
    </row>
    <row r="2253" spans="1:2" x14ac:dyDescent="0.25">
      <c r="A2253" s="73"/>
      <c r="B2253" s="73"/>
    </row>
    <row r="2254" spans="1:2" x14ac:dyDescent="0.25">
      <c r="A2254" s="73"/>
      <c r="B2254" s="73"/>
    </row>
    <row r="2255" spans="1:2" x14ac:dyDescent="0.25">
      <c r="A2255" s="73"/>
      <c r="B2255" s="73"/>
    </row>
    <row r="2256" spans="1:2" x14ac:dyDescent="0.25">
      <c r="A2256" s="73"/>
      <c r="B2256" s="73"/>
    </row>
    <row r="2257" spans="1:2" x14ac:dyDescent="0.25">
      <c r="A2257" s="73"/>
      <c r="B2257" s="73"/>
    </row>
    <row r="2258" spans="1:2" x14ac:dyDescent="0.25">
      <c r="A2258" s="73"/>
      <c r="B2258" s="73"/>
    </row>
    <row r="2259" spans="1:2" x14ac:dyDescent="0.25">
      <c r="A2259" s="73"/>
      <c r="B2259" s="73"/>
    </row>
    <row r="2260" spans="1:2" x14ac:dyDescent="0.25">
      <c r="A2260" s="73"/>
      <c r="B2260" s="73"/>
    </row>
    <row r="2261" spans="1:2" x14ac:dyDescent="0.25">
      <c r="A2261" s="73"/>
      <c r="B2261" s="73"/>
    </row>
    <row r="2262" spans="1:2" x14ac:dyDescent="0.25">
      <c r="A2262" s="73"/>
      <c r="B2262" s="73"/>
    </row>
    <row r="2263" spans="1:2" x14ac:dyDescent="0.25">
      <c r="A2263" s="73"/>
      <c r="B2263" s="73"/>
    </row>
    <row r="2264" spans="1:2" x14ac:dyDescent="0.25">
      <c r="A2264" s="73"/>
      <c r="B2264" s="73"/>
    </row>
    <row r="2265" spans="1:2" x14ac:dyDescent="0.25">
      <c r="A2265" s="73"/>
      <c r="B2265" s="73"/>
    </row>
    <row r="2266" spans="1:2" x14ac:dyDescent="0.25">
      <c r="A2266" s="73"/>
      <c r="B2266" s="73"/>
    </row>
    <row r="2267" spans="1:2" x14ac:dyDescent="0.25">
      <c r="A2267" s="73"/>
      <c r="B2267" s="73"/>
    </row>
    <row r="2268" spans="1:2" x14ac:dyDescent="0.25">
      <c r="A2268" s="73"/>
      <c r="B2268" s="73"/>
    </row>
    <row r="2269" spans="1:2" x14ac:dyDescent="0.25">
      <c r="A2269" s="73"/>
      <c r="B2269" s="73"/>
    </row>
    <row r="2270" spans="1:2" x14ac:dyDescent="0.25">
      <c r="A2270" s="73"/>
      <c r="B2270" s="73"/>
    </row>
    <row r="2271" spans="1:2" x14ac:dyDescent="0.25">
      <c r="A2271" s="73"/>
      <c r="B2271" s="73"/>
    </row>
    <row r="2272" spans="1:2" x14ac:dyDescent="0.25">
      <c r="A2272" s="73"/>
      <c r="B2272" s="73"/>
    </row>
    <row r="2273" spans="1:2" x14ac:dyDescent="0.25">
      <c r="A2273" s="73"/>
      <c r="B2273" s="73"/>
    </row>
    <row r="2274" spans="1:2" x14ac:dyDescent="0.25">
      <c r="A2274" s="73"/>
      <c r="B2274" s="73"/>
    </row>
    <row r="2275" spans="1:2" x14ac:dyDescent="0.25">
      <c r="A2275" s="73"/>
      <c r="B2275" s="73"/>
    </row>
    <row r="2276" spans="1:2" x14ac:dyDescent="0.25">
      <c r="A2276" s="73"/>
      <c r="B2276" s="73"/>
    </row>
    <row r="2277" spans="1:2" x14ac:dyDescent="0.25">
      <c r="A2277" s="73"/>
      <c r="B2277" s="73"/>
    </row>
    <row r="2278" spans="1:2" x14ac:dyDescent="0.25">
      <c r="A2278" s="73"/>
      <c r="B2278" s="73"/>
    </row>
    <row r="2279" spans="1:2" x14ac:dyDescent="0.25">
      <c r="A2279" s="73"/>
      <c r="B2279" s="73"/>
    </row>
    <row r="2280" spans="1:2" x14ac:dyDescent="0.25">
      <c r="A2280" s="73"/>
      <c r="B2280" s="73"/>
    </row>
    <row r="2281" spans="1:2" x14ac:dyDescent="0.25">
      <c r="A2281" s="73"/>
      <c r="B2281" s="73"/>
    </row>
    <row r="2282" spans="1:2" x14ac:dyDescent="0.25">
      <c r="A2282" s="73"/>
      <c r="B2282" s="73"/>
    </row>
    <row r="2283" spans="1:2" x14ac:dyDescent="0.25">
      <c r="A2283" s="73"/>
      <c r="B2283" s="73"/>
    </row>
    <row r="2284" spans="1:2" x14ac:dyDescent="0.25">
      <c r="A2284" s="73"/>
      <c r="B2284" s="73"/>
    </row>
    <row r="2285" spans="1:2" x14ac:dyDescent="0.25">
      <c r="A2285" s="73"/>
      <c r="B2285" s="73"/>
    </row>
    <row r="2286" spans="1:2" x14ac:dyDescent="0.25">
      <c r="A2286" s="73"/>
      <c r="B2286" s="73"/>
    </row>
    <row r="2287" spans="1:2" x14ac:dyDescent="0.25">
      <c r="A2287" s="73"/>
      <c r="B2287" s="73"/>
    </row>
    <row r="2288" spans="1:2" x14ac:dyDescent="0.25">
      <c r="A2288" s="73"/>
      <c r="B2288" s="73"/>
    </row>
    <row r="2289" spans="1:2" x14ac:dyDescent="0.25">
      <c r="A2289" s="73"/>
      <c r="B2289" s="73"/>
    </row>
    <row r="2290" spans="1:2" x14ac:dyDescent="0.25">
      <c r="A2290" s="73"/>
      <c r="B2290" s="73"/>
    </row>
    <row r="2291" spans="1:2" x14ac:dyDescent="0.25">
      <c r="A2291" s="73"/>
      <c r="B2291" s="73"/>
    </row>
    <row r="2292" spans="1:2" x14ac:dyDescent="0.25">
      <c r="A2292" s="73"/>
      <c r="B2292" s="73"/>
    </row>
    <row r="2293" spans="1:2" x14ac:dyDescent="0.25">
      <c r="A2293" s="73"/>
      <c r="B2293" s="73"/>
    </row>
    <row r="2294" spans="1:2" x14ac:dyDescent="0.25">
      <c r="A2294" s="73"/>
      <c r="B2294" s="73"/>
    </row>
    <row r="2295" spans="1:2" x14ac:dyDescent="0.25">
      <c r="A2295" s="73"/>
      <c r="B2295" s="73"/>
    </row>
    <row r="2296" spans="1:2" x14ac:dyDescent="0.25">
      <c r="A2296" s="73"/>
      <c r="B2296" s="73"/>
    </row>
    <row r="2297" spans="1:2" x14ac:dyDescent="0.25">
      <c r="A2297" s="73"/>
      <c r="B2297" s="73"/>
    </row>
    <row r="2298" spans="1:2" x14ac:dyDescent="0.25">
      <c r="A2298" s="73"/>
      <c r="B2298" s="73"/>
    </row>
    <row r="2299" spans="1:2" x14ac:dyDescent="0.25">
      <c r="A2299" s="73"/>
      <c r="B2299" s="73"/>
    </row>
    <row r="2300" spans="1:2" x14ac:dyDescent="0.25">
      <c r="A2300" s="73"/>
      <c r="B2300" s="73"/>
    </row>
    <row r="2301" spans="1:2" x14ac:dyDescent="0.25">
      <c r="A2301" s="73"/>
      <c r="B2301" s="73"/>
    </row>
    <row r="2302" spans="1:2" x14ac:dyDescent="0.25">
      <c r="A2302" s="73"/>
      <c r="B2302" s="73"/>
    </row>
    <row r="2303" spans="1:2" x14ac:dyDescent="0.25">
      <c r="A2303" s="73"/>
      <c r="B2303" s="73"/>
    </row>
    <row r="2304" spans="1:2" x14ac:dyDescent="0.25">
      <c r="A2304" s="73"/>
      <c r="B2304" s="73"/>
    </row>
    <row r="2305" spans="1:2" x14ac:dyDescent="0.25">
      <c r="A2305" s="73"/>
      <c r="B2305" s="73"/>
    </row>
    <row r="2306" spans="1:2" x14ac:dyDescent="0.25">
      <c r="A2306" s="73"/>
      <c r="B2306" s="73"/>
    </row>
    <row r="2307" spans="1:2" x14ac:dyDescent="0.25">
      <c r="A2307" s="73"/>
      <c r="B2307" s="73"/>
    </row>
    <row r="2308" spans="1:2" x14ac:dyDescent="0.25">
      <c r="A2308" s="73"/>
      <c r="B2308" s="73"/>
    </row>
    <row r="2309" spans="1:2" x14ac:dyDescent="0.25">
      <c r="A2309" s="73"/>
      <c r="B2309" s="73"/>
    </row>
    <row r="2310" spans="1:2" x14ac:dyDescent="0.25">
      <c r="A2310" s="73"/>
      <c r="B2310" s="73"/>
    </row>
    <row r="2311" spans="1:2" x14ac:dyDescent="0.25">
      <c r="A2311" s="73"/>
      <c r="B2311" s="73"/>
    </row>
    <row r="2312" spans="1:2" x14ac:dyDescent="0.25">
      <c r="A2312" s="73"/>
      <c r="B2312" s="73"/>
    </row>
    <row r="2313" spans="1:2" x14ac:dyDescent="0.25">
      <c r="A2313" s="73"/>
      <c r="B2313" s="73"/>
    </row>
    <row r="2314" spans="1:2" x14ac:dyDescent="0.25">
      <c r="A2314" s="73"/>
      <c r="B2314" s="73"/>
    </row>
    <row r="2315" spans="1:2" x14ac:dyDescent="0.25">
      <c r="A2315" s="73"/>
      <c r="B2315" s="73"/>
    </row>
    <row r="2316" spans="1:2" x14ac:dyDescent="0.25">
      <c r="A2316" s="73"/>
      <c r="B2316" s="73"/>
    </row>
    <row r="2317" spans="1:2" x14ac:dyDescent="0.25">
      <c r="A2317" s="73"/>
      <c r="B2317" s="73"/>
    </row>
    <row r="2318" spans="1:2" x14ac:dyDescent="0.25">
      <c r="A2318" s="73"/>
      <c r="B2318" s="73"/>
    </row>
    <row r="2319" spans="1:2" x14ac:dyDescent="0.25">
      <c r="A2319" s="73"/>
      <c r="B2319" s="73"/>
    </row>
    <row r="2320" spans="1:2" x14ac:dyDescent="0.25">
      <c r="A2320" s="73"/>
      <c r="B2320" s="73"/>
    </row>
    <row r="2321" spans="1:2" x14ac:dyDescent="0.25">
      <c r="A2321" s="73"/>
      <c r="B2321" s="73"/>
    </row>
    <row r="2322" spans="1:2" x14ac:dyDescent="0.25">
      <c r="A2322" s="73"/>
      <c r="B2322" s="73"/>
    </row>
    <row r="2323" spans="1:2" x14ac:dyDescent="0.25">
      <c r="A2323" s="73"/>
      <c r="B2323" s="73"/>
    </row>
    <row r="2324" spans="1:2" x14ac:dyDescent="0.25">
      <c r="A2324" s="73"/>
      <c r="B2324" s="73"/>
    </row>
    <row r="2325" spans="1:2" x14ac:dyDescent="0.25">
      <c r="A2325" s="73"/>
      <c r="B2325" s="73"/>
    </row>
    <row r="2326" spans="1:2" x14ac:dyDescent="0.25">
      <c r="A2326" s="73"/>
      <c r="B2326" s="73"/>
    </row>
    <row r="2327" spans="1:2" x14ac:dyDescent="0.25">
      <c r="A2327" s="73"/>
      <c r="B2327" s="73"/>
    </row>
    <row r="2328" spans="1:2" x14ac:dyDescent="0.25">
      <c r="A2328" s="73"/>
      <c r="B2328" s="73"/>
    </row>
    <row r="2329" spans="1:2" x14ac:dyDescent="0.25">
      <c r="A2329" s="73"/>
      <c r="B2329" s="73"/>
    </row>
    <row r="2330" spans="1:2" x14ac:dyDescent="0.25">
      <c r="A2330" s="73"/>
      <c r="B2330" s="73"/>
    </row>
    <row r="2331" spans="1:2" x14ac:dyDescent="0.25">
      <c r="A2331" s="73"/>
      <c r="B2331" s="73"/>
    </row>
    <row r="2332" spans="1:2" x14ac:dyDescent="0.25">
      <c r="A2332" s="73"/>
      <c r="B2332" s="73"/>
    </row>
    <row r="2333" spans="1:2" x14ac:dyDescent="0.25">
      <c r="A2333" s="73"/>
      <c r="B2333" s="73"/>
    </row>
    <row r="2334" spans="1:2" x14ac:dyDescent="0.25">
      <c r="A2334" s="73"/>
      <c r="B2334" s="73"/>
    </row>
    <row r="2335" spans="1:2" x14ac:dyDescent="0.25">
      <c r="A2335" s="73"/>
      <c r="B2335" s="73"/>
    </row>
    <row r="2336" spans="1:2" x14ac:dyDescent="0.25">
      <c r="A2336" s="73"/>
      <c r="B2336" s="73"/>
    </row>
    <row r="2337" spans="1:2" x14ac:dyDescent="0.25">
      <c r="A2337" s="73"/>
      <c r="B2337" s="73"/>
    </row>
    <row r="2338" spans="1:2" x14ac:dyDescent="0.25">
      <c r="A2338" s="73"/>
      <c r="B2338" s="73"/>
    </row>
    <row r="2339" spans="1:2" x14ac:dyDescent="0.25">
      <c r="A2339" s="73"/>
      <c r="B2339" s="73"/>
    </row>
    <row r="2340" spans="1:2" x14ac:dyDescent="0.25">
      <c r="A2340" s="73"/>
      <c r="B2340" s="73"/>
    </row>
    <row r="2341" spans="1:2" x14ac:dyDescent="0.25">
      <c r="A2341" s="73"/>
      <c r="B2341" s="73"/>
    </row>
    <row r="2342" spans="1:2" x14ac:dyDescent="0.25">
      <c r="A2342" s="73"/>
      <c r="B2342" s="73"/>
    </row>
    <row r="2343" spans="1:2" x14ac:dyDescent="0.25">
      <c r="A2343" s="73"/>
      <c r="B2343" s="73"/>
    </row>
    <row r="2344" spans="1:2" x14ac:dyDescent="0.25">
      <c r="A2344" s="73"/>
      <c r="B2344" s="73"/>
    </row>
    <row r="2345" spans="1:2" x14ac:dyDescent="0.25">
      <c r="A2345" s="73"/>
      <c r="B2345" s="73"/>
    </row>
    <row r="2346" spans="1:2" x14ac:dyDescent="0.25">
      <c r="A2346" s="73"/>
      <c r="B2346" s="73"/>
    </row>
    <row r="2347" spans="1:2" x14ac:dyDescent="0.25">
      <c r="A2347" s="73"/>
      <c r="B2347" s="73"/>
    </row>
    <row r="2348" spans="1:2" x14ac:dyDescent="0.25">
      <c r="A2348" s="73"/>
      <c r="B2348" s="73"/>
    </row>
    <row r="2349" spans="1:2" x14ac:dyDescent="0.25">
      <c r="A2349" s="73"/>
      <c r="B2349" s="73"/>
    </row>
    <row r="2350" spans="1:2" x14ac:dyDescent="0.25">
      <c r="A2350" s="73"/>
      <c r="B2350" s="73"/>
    </row>
    <row r="2351" spans="1:2" x14ac:dyDescent="0.25">
      <c r="A2351" s="73"/>
      <c r="B2351" s="73"/>
    </row>
    <row r="2352" spans="1:2" x14ac:dyDescent="0.25">
      <c r="A2352" s="73"/>
      <c r="B2352" s="73"/>
    </row>
    <row r="2353" spans="1:2" x14ac:dyDescent="0.25">
      <c r="A2353" s="73"/>
      <c r="B2353" s="73"/>
    </row>
    <row r="2354" spans="1:2" x14ac:dyDescent="0.25">
      <c r="A2354" s="73"/>
      <c r="B2354" s="73"/>
    </row>
    <row r="2355" spans="1:2" x14ac:dyDescent="0.25">
      <c r="A2355" s="73"/>
      <c r="B2355" s="73"/>
    </row>
    <row r="2356" spans="1:2" x14ac:dyDescent="0.25">
      <c r="A2356" s="73"/>
      <c r="B2356" s="73"/>
    </row>
    <row r="2357" spans="1:2" x14ac:dyDescent="0.25">
      <c r="A2357" s="73"/>
      <c r="B2357" s="73"/>
    </row>
    <row r="2358" spans="1:2" x14ac:dyDescent="0.25">
      <c r="A2358" s="73"/>
      <c r="B2358" s="73"/>
    </row>
    <row r="2359" spans="1:2" x14ac:dyDescent="0.25">
      <c r="A2359" s="73"/>
      <c r="B2359" s="73"/>
    </row>
    <row r="2360" spans="1:2" x14ac:dyDescent="0.25">
      <c r="A2360" s="73"/>
      <c r="B2360" s="73"/>
    </row>
    <row r="2361" spans="1:2" x14ac:dyDescent="0.25">
      <c r="A2361" s="73"/>
      <c r="B2361" s="73"/>
    </row>
    <row r="2362" spans="1:2" x14ac:dyDescent="0.25">
      <c r="A2362" s="73"/>
      <c r="B2362" s="73"/>
    </row>
    <row r="2363" spans="1:2" x14ac:dyDescent="0.25">
      <c r="A2363" s="73"/>
      <c r="B2363" s="73"/>
    </row>
    <row r="2364" spans="1:2" x14ac:dyDescent="0.25">
      <c r="A2364" s="73"/>
      <c r="B2364" s="73"/>
    </row>
    <row r="2365" spans="1:2" x14ac:dyDescent="0.25">
      <c r="A2365" s="73"/>
      <c r="B2365" s="73"/>
    </row>
    <row r="2366" spans="1:2" x14ac:dyDescent="0.25">
      <c r="A2366" s="73"/>
      <c r="B2366" s="73"/>
    </row>
    <row r="2367" spans="1:2" x14ac:dyDescent="0.25">
      <c r="A2367" s="73"/>
      <c r="B2367" s="73"/>
    </row>
    <row r="2368" spans="1:2" x14ac:dyDescent="0.25">
      <c r="A2368" s="73"/>
      <c r="B2368" s="73"/>
    </row>
    <row r="2369" spans="1:2" x14ac:dyDescent="0.25">
      <c r="A2369" s="73"/>
      <c r="B2369" s="73"/>
    </row>
    <row r="2370" spans="1:2" x14ac:dyDescent="0.25">
      <c r="A2370" s="73"/>
      <c r="B2370" s="73"/>
    </row>
    <row r="2371" spans="1:2" x14ac:dyDescent="0.25">
      <c r="A2371" s="73"/>
      <c r="B2371" s="73"/>
    </row>
    <row r="2372" spans="1:2" x14ac:dyDescent="0.25">
      <c r="A2372" s="73"/>
      <c r="B2372" s="73"/>
    </row>
    <row r="2373" spans="1:2" x14ac:dyDescent="0.25">
      <c r="A2373" s="73"/>
      <c r="B2373" s="73"/>
    </row>
    <row r="2374" spans="1:2" x14ac:dyDescent="0.25">
      <c r="A2374" s="73"/>
      <c r="B2374" s="73"/>
    </row>
    <row r="2375" spans="1:2" x14ac:dyDescent="0.25">
      <c r="A2375" s="73"/>
      <c r="B2375" s="73"/>
    </row>
    <row r="2376" spans="1:2" x14ac:dyDescent="0.25">
      <c r="A2376" s="73"/>
      <c r="B2376" s="73"/>
    </row>
    <row r="2377" spans="1:2" x14ac:dyDescent="0.25">
      <c r="A2377" s="73"/>
      <c r="B2377" s="73"/>
    </row>
    <row r="2378" spans="1:2" x14ac:dyDescent="0.25">
      <c r="A2378" s="73"/>
      <c r="B2378" s="73"/>
    </row>
    <row r="2379" spans="1:2" x14ac:dyDescent="0.25">
      <c r="A2379" s="73"/>
      <c r="B2379" s="73"/>
    </row>
    <row r="2380" spans="1:2" x14ac:dyDescent="0.25">
      <c r="A2380" s="73"/>
      <c r="B2380" s="73"/>
    </row>
    <row r="2381" spans="1:2" x14ac:dyDescent="0.25">
      <c r="A2381" s="73"/>
      <c r="B2381" s="73"/>
    </row>
    <row r="2382" spans="1:2" x14ac:dyDescent="0.25">
      <c r="A2382" s="73"/>
      <c r="B2382" s="73"/>
    </row>
    <row r="2383" spans="1:2" x14ac:dyDescent="0.25">
      <c r="A2383" s="73"/>
      <c r="B2383" s="73"/>
    </row>
    <row r="2384" spans="1:2" x14ac:dyDescent="0.25">
      <c r="A2384" s="73"/>
      <c r="B2384" s="73"/>
    </row>
    <row r="2385" spans="1:2" x14ac:dyDescent="0.25">
      <c r="A2385" s="73"/>
      <c r="B2385" s="73"/>
    </row>
    <row r="2386" spans="1:2" x14ac:dyDescent="0.25">
      <c r="A2386" s="73"/>
      <c r="B2386" s="73"/>
    </row>
    <row r="2387" spans="1:2" x14ac:dyDescent="0.25">
      <c r="A2387" s="73"/>
      <c r="B2387" s="73"/>
    </row>
    <row r="2388" spans="1:2" x14ac:dyDescent="0.25">
      <c r="A2388" s="73"/>
      <c r="B2388" s="73"/>
    </row>
    <row r="2389" spans="1:2" x14ac:dyDescent="0.25">
      <c r="A2389" s="73"/>
      <c r="B2389" s="73"/>
    </row>
    <row r="2390" spans="1:2" x14ac:dyDescent="0.25">
      <c r="A2390" s="73"/>
      <c r="B2390" s="73"/>
    </row>
    <row r="2391" spans="1:2" x14ac:dyDescent="0.25">
      <c r="A2391" s="73"/>
      <c r="B2391" s="73"/>
    </row>
    <row r="2392" spans="1:2" x14ac:dyDescent="0.25">
      <c r="A2392" s="73"/>
      <c r="B2392" s="73"/>
    </row>
    <row r="2393" spans="1:2" x14ac:dyDescent="0.25">
      <c r="A2393" s="73"/>
      <c r="B2393" s="73"/>
    </row>
    <row r="2394" spans="1:2" x14ac:dyDescent="0.25">
      <c r="A2394" s="73"/>
      <c r="B2394" s="73"/>
    </row>
    <row r="2395" spans="1:2" x14ac:dyDescent="0.25">
      <c r="A2395" s="73"/>
      <c r="B2395" s="73"/>
    </row>
    <row r="2396" spans="1:2" x14ac:dyDescent="0.25">
      <c r="A2396" s="73"/>
      <c r="B2396" s="73"/>
    </row>
    <row r="2397" spans="1:2" x14ac:dyDescent="0.25">
      <c r="A2397" s="73"/>
      <c r="B2397" s="73"/>
    </row>
    <row r="2398" spans="1:2" x14ac:dyDescent="0.25">
      <c r="A2398" s="73"/>
      <c r="B2398" s="73"/>
    </row>
    <row r="2399" spans="1:2" x14ac:dyDescent="0.25">
      <c r="A2399" s="73"/>
      <c r="B2399" s="73"/>
    </row>
    <row r="2400" spans="1:2" x14ac:dyDescent="0.25">
      <c r="A2400" s="73"/>
      <c r="B2400" s="73"/>
    </row>
    <row r="2401" spans="1:2" x14ac:dyDescent="0.25">
      <c r="A2401" s="73"/>
      <c r="B2401" s="73"/>
    </row>
    <row r="2402" spans="1:2" x14ac:dyDescent="0.25">
      <c r="A2402" s="73"/>
      <c r="B2402" s="73"/>
    </row>
    <row r="2403" spans="1:2" x14ac:dyDescent="0.25">
      <c r="A2403" s="73"/>
      <c r="B2403" s="73"/>
    </row>
    <row r="2404" spans="1:2" x14ac:dyDescent="0.25">
      <c r="A2404" s="73"/>
      <c r="B2404" s="73"/>
    </row>
    <row r="2405" spans="1:2" x14ac:dyDescent="0.25">
      <c r="A2405" s="73"/>
      <c r="B2405" s="73"/>
    </row>
    <row r="2406" spans="1:2" x14ac:dyDescent="0.25">
      <c r="A2406" s="73"/>
      <c r="B2406" s="73"/>
    </row>
    <row r="2407" spans="1:2" x14ac:dyDescent="0.25">
      <c r="A2407" s="73"/>
      <c r="B2407" s="73"/>
    </row>
    <row r="2408" spans="1:2" x14ac:dyDescent="0.25">
      <c r="A2408" s="73"/>
      <c r="B2408" s="73"/>
    </row>
    <row r="2409" spans="1:2" x14ac:dyDescent="0.25">
      <c r="A2409" s="73"/>
      <c r="B2409" s="73"/>
    </row>
    <row r="2410" spans="1:2" x14ac:dyDescent="0.25">
      <c r="A2410" s="73"/>
      <c r="B2410" s="73"/>
    </row>
    <row r="2411" spans="1:2" x14ac:dyDescent="0.25">
      <c r="A2411" s="73"/>
      <c r="B2411" s="73"/>
    </row>
    <row r="2412" spans="1:2" x14ac:dyDescent="0.25">
      <c r="A2412" s="73"/>
      <c r="B2412" s="73"/>
    </row>
    <row r="2413" spans="1:2" x14ac:dyDescent="0.25">
      <c r="A2413" s="73"/>
      <c r="B2413" s="73"/>
    </row>
    <row r="2414" spans="1:2" x14ac:dyDescent="0.25">
      <c r="A2414" s="73"/>
      <c r="B2414" s="73"/>
    </row>
    <row r="2415" spans="1:2" x14ac:dyDescent="0.25">
      <c r="A2415" s="73"/>
      <c r="B2415" s="73"/>
    </row>
    <row r="2416" spans="1:2" x14ac:dyDescent="0.25">
      <c r="A2416" s="73"/>
      <c r="B2416" s="73"/>
    </row>
    <row r="2417" spans="1:2" x14ac:dyDescent="0.25">
      <c r="A2417" s="73"/>
      <c r="B2417" s="73"/>
    </row>
    <row r="2418" spans="1:2" x14ac:dyDescent="0.25">
      <c r="A2418" s="73"/>
      <c r="B2418" s="73"/>
    </row>
    <row r="2419" spans="1:2" x14ac:dyDescent="0.25">
      <c r="A2419" s="73"/>
      <c r="B2419" s="73"/>
    </row>
    <row r="2420" spans="1:2" x14ac:dyDescent="0.25">
      <c r="A2420" s="73"/>
      <c r="B2420" s="73"/>
    </row>
    <row r="2421" spans="1:2" x14ac:dyDescent="0.25">
      <c r="A2421" s="73"/>
      <c r="B2421" s="73"/>
    </row>
    <row r="2422" spans="1:2" x14ac:dyDescent="0.25">
      <c r="A2422" s="73"/>
      <c r="B2422" s="73"/>
    </row>
    <row r="2423" spans="1:2" x14ac:dyDescent="0.25">
      <c r="A2423" s="73"/>
      <c r="B2423" s="73"/>
    </row>
    <row r="2424" spans="1:2" x14ac:dyDescent="0.25">
      <c r="A2424" s="73"/>
      <c r="B2424" s="73"/>
    </row>
    <row r="2425" spans="1:2" x14ac:dyDescent="0.25">
      <c r="A2425" s="73"/>
      <c r="B2425" s="73"/>
    </row>
    <row r="2426" spans="1:2" x14ac:dyDescent="0.25">
      <c r="A2426" s="73"/>
      <c r="B2426" s="73"/>
    </row>
    <row r="2427" spans="1:2" x14ac:dyDescent="0.25">
      <c r="A2427" s="73"/>
      <c r="B2427" s="73"/>
    </row>
    <row r="2428" spans="1:2" x14ac:dyDescent="0.25">
      <c r="A2428" s="73"/>
      <c r="B2428" s="73"/>
    </row>
    <row r="2429" spans="1:2" x14ac:dyDescent="0.25">
      <c r="A2429" s="73"/>
      <c r="B2429" s="73"/>
    </row>
    <row r="2430" spans="1:2" x14ac:dyDescent="0.25">
      <c r="A2430" s="73"/>
      <c r="B2430" s="73"/>
    </row>
    <row r="2431" spans="1:2" x14ac:dyDescent="0.25">
      <c r="A2431" s="73"/>
      <c r="B2431" s="73"/>
    </row>
    <row r="2432" spans="1:2" x14ac:dyDescent="0.25">
      <c r="A2432" s="73"/>
      <c r="B2432" s="73"/>
    </row>
    <row r="2433" spans="1:2" x14ac:dyDescent="0.25">
      <c r="A2433" s="73"/>
      <c r="B2433" s="73"/>
    </row>
    <row r="2434" spans="1:2" x14ac:dyDescent="0.25">
      <c r="A2434" s="73"/>
      <c r="B2434" s="73"/>
    </row>
    <row r="2435" spans="1:2" x14ac:dyDescent="0.25">
      <c r="A2435" s="73"/>
      <c r="B2435" s="73"/>
    </row>
    <row r="2436" spans="1:2" x14ac:dyDescent="0.25">
      <c r="A2436" s="73"/>
      <c r="B2436" s="73"/>
    </row>
    <row r="2437" spans="1:2" x14ac:dyDescent="0.25">
      <c r="A2437" s="73"/>
      <c r="B2437" s="73"/>
    </row>
    <row r="2438" spans="1:2" x14ac:dyDescent="0.25">
      <c r="A2438" s="73"/>
      <c r="B2438" s="73"/>
    </row>
    <row r="2439" spans="1:2" x14ac:dyDescent="0.25">
      <c r="A2439" s="73"/>
      <c r="B2439" s="73"/>
    </row>
    <row r="2440" spans="1:2" x14ac:dyDescent="0.25">
      <c r="A2440" s="73"/>
      <c r="B2440" s="73"/>
    </row>
    <row r="2441" spans="1:2" x14ac:dyDescent="0.25">
      <c r="A2441" s="73"/>
      <c r="B2441" s="73"/>
    </row>
    <row r="2442" spans="1:2" x14ac:dyDescent="0.25">
      <c r="A2442" s="73"/>
      <c r="B2442" s="73"/>
    </row>
    <row r="2443" spans="1:2" x14ac:dyDescent="0.25">
      <c r="A2443" s="73"/>
      <c r="B2443" s="73"/>
    </row>
    <row r="2444" spans="1:2" x14ac:dyDescent="0.25">
      <c r="A2444" s="73"/>
      <c r="B2444" s="73"/>
    </row>
    <row r="2445" spans="1:2" x14ac:dyDescent="0.25">
      <c r="A2445" s="73"/>
      <c r="B2445" s="73"/>
    </row>
    <row r="2446" spans="1:2" x14ac:dyDescent="0.25">
      <c r="A2446" s="73"/>
      <c r="B2446" s="73"/>
    </row>
    <row r="2447" spans="1:2" x14ac:dyDescent="0.25">
      <c r="A2447" s="73"/>
      <c r="B2447" s="73"/>
    </row>
    <row r="2448" spans="1:2" x14ac:dyDescent="0.25">
      <c r="A2448" s="73"/>
      <c r="B2448" s="73"/>
    </row>
    <row r="2449" spans="1:2" x14ac:dyDescent="0.25">
      <c r="A2449" s="73"/>
      <c r="B2449" s="73"/>
    </row>
    <row r="2450" spans="1:2" x14ac:dyDescent="0.25">
      <c r="A2450" s="73"/>
      <c r="B2450" s="73"/>
    </row>
    <row r="2451" spans="1:2" x14ac:dyDescent="0.25">
      <c r="A2451" s="73"/>
      <c r="B2451" s="73"/>
    </row>
    <row r="2452" spans="1:2" x14ac:dyDescent="0.25">
      <c r="A2452" s="73"/>
      <c r="B2452" s="73"/>
    </row>
    <row r="2453" spans="1:2" x14ac:dyDescent="0.25">
      <c r="A2453" s="73"/>
      <c r="B2453" s="73"/>
    </row>
    <row r="2454" spans="1:2" x14ac:dyDescent="0.25">
      <c r="A2454" s="73"/>
      <c r="B2454" s="73"/>
    </row>
    <row r="2455" spans="1:2" x14ac:dyDescent="0.25">
      <c r="A2455" s="73"/>
      <c r="B2455" s="73"/>
    </row>
    <row r="2456" spans="1:2" x14ac:dyDescent="0.25">
      <c r="A2456" s="73"/>
      <c r="B2456" s="73"/>
    </row>
    <row r="2457" spans="1:2" x14ac:dyDescent="0.25">
      <c r="A2457" s="73"/>
      <c r="B2457" s="73"/>
    </row>
    <row r="2458" spans="1:2" x14ac:dyDescent="0.25">
      <c r="A2458" s="73"/>
      <c r="B2458" s="73"/>
    </row>
    <row r="2459" spans="1:2" x14ac:dyDescent="0.25">
      <c r="A2459" s="73"/>
      <c r="B2459" s="73"/>
    </row>
    <row r="2460" spans="1:2" x14ac:dyDescent="0.25">
      <c r="A2460" s="73"/>
      <c r="B2460" s="73"/>
    </row>
    <row r="2461" spans="1:2" x14ac:dyDescent="0.25">
      <c r="A2461" s="73"/>
      <c r="B2461" s="73"/>
    </row>
    <row r="2462" spans="1:2" x14ac:dyDescent="0.25">
      <c r="A2462" s="73"/>
      <c r="B2462" s="73"/>
    </row>
    <row r="2463" spans="1:2" x14ac:dyDescent="0.25">
      <c r="A2463" s="73"/>
      <c r="B2463" s="73"/>
    </row>
    <row r="2464" spans="1:2" x14ac:dyDescent="0.25">
      <c r="A2464" s="73"/>
      <c r="B2464" s="73"/>
    </row>
    <row r="2465" spans="1:2" x14ac:dyDescent="0.25">
      <c r="A2465" s="73"/>
      <c r="B2465" s="73"/>
    </row>
    <row r="2466" spans="1:2" x14ac:dyDescent="0.25">
      <c r="A2466" s="73"/>
      <c r="B2466" s="73"/>
    </row>
    <row r="2467" spans="1:2" x14ac:dyDescent="0.25">
      <c r="A2467" s="73"/>
      <c r="B2467" s="73"/>
    </row>
    <row r="2468" spans="1:2" x14ac:dyDescent="0.25">
      <c r="A2468" s="73"/>
      <c r="B2468" s="73"/>
    </row>
    <row r="2469" spans="1:2" x14ac:dyDescent="0.25">
      <c r="A2469" s="73"/>
      <c r="B2469" s="73"/>
    </row>
    <row r="2470" spans="1:2" x14ac:dyDescent="0.25">
      <c r="A2470" s="73"/>
      <c r="B2470" s="73"/>
    </row>
    <row r="2471" spans="1:2" x14ac:dyDescent="0.25">
      <c r="A2471" s="73"/>
      <c r="B2471" s="73"/>
    </row>
    <row r="2472" spans="1:2" x14ac:dyDescent="0.25">
      <c r="A2472" s="73"/>
      <c r="B2472" s="73"/>
    </row>
    <row r="2473" spans="1:2" x14ac:dyDescent="0.25">
      <c r="A2473" s="73"/>
      <c r="B2473" s="73"/>
    </row>
    <row r="2474" spans="1:2" x14ac:dyDescent="0.25">
      <c r="A2474" s="73"/>
      <c r="B2474" s="73"/>
    </row>
    <row r="2475" spans="1:2" x14ac:dyDescent="0.25">
      <c r="A2475" s="73"/>
      <c r="B2475" s="73"/>
    </row>
    <row r="2476" spans="1:2" x14ac:dyDescent="0.25">
      <c r="A2476" s="73"/>
      <c r="B2476" s="73"/>
    </row>
    <row r="2477" spans="1:2" x14ac:dyDescent="0.25">
      <c r="A2477" s="73"/>
      <c r="B2477" s="73"/>
    </row>
    <row r="2478" spans="1:2" x14ac:dyDescent="0.25">
      <c r="A2478" s="73"/>
      <c r="B2478" s="73"/>
    </row>
    <row r="2479" spans="1:2" x14ac:dyDescent="0.25">
      <c r="A2479" s="73"/>
      <c r="B2479" s="73"/>
    </row>
    <row r="2480" spans="1:2" x14ac:dyDescent="0.25">
      <c r="A2480" s="73"/>
      <c r="B2480" s="73"/>
    </row>
    <row r="2481" spans="1:2" x14ac:dyDescent="0.25">
      <c r="A2481" s="73"/>
      <c r="B2481" s="73"/>
    </row>
    <row r="2482" spans="1:2" x14ac:dyDescent="0.25">
      <c r="A2482" s="73"/>
      <c r="B2482" s="73"/>
    </row>
    <row r="2483" spans="1:2" x14ac:dyDescent="0.25">
      <c r="A2483" s="73"/>
      <c r="B2483" s="73"/>
    </row>
    <row r="2484" spans="1:2" x14ac:dyDescent="0.25">
      <c r="A2484" s="73"/>
      <c r="B2484" s="73"/>
    </row>
    <row r="2485" spans="1:2" x14ac:dyDescent="0.25">
      <c r="A2485" s="73"/>
      <c r="B2485" s="73"/>
    </row>
    <row r="2486" spans="1:2" x14ac:dyDescent="0.25">
      <c r="A2486" s="73"/>
      <c r="B2486" s="73"/>
    </row>
    <row r="2487" spans="1:2" x14ac:dyDescent="0.25">
      <c r="A2487" s="73"/>
      <c r="B2487" s="73"/>
    </row>
    <row r="2488" spans="1:2" x14ac:dyDescent="0.25">
      <c r="A2488" s="73"/>
      <c r="B2488" s="73"/>
    </row>
    <row r="2489" spans="1:2" x14ac:dyDescent="0.25">
      <c r="A2489" s="73"/>
      <c r="B2489" s="73"/>
    </row>
    <row r="2490" spans="1:2" x14ac:dyDescent="0.25">
      <c r="A2490" s="73"/>
      <c r="B2490" s="73"/>
    </row>
    <row r="2491" spans="1:2" x14ac:dyDescent="0.25">
      <c r="A2491" s="73"/>
      <c r="B2491" s="73"/>
    </row>
    <row r="2492" spans="1:2" x14ac:dyDescent="0.25">
      <c r="A2492" s="73"/>
      <c r="B2492" s="73"/>
    </row>
    <row r="2493" spans="1:2" x14ac:dyDescent="0.25">
      <c r="A2493" s="73"/>
      <c r="B2493" s="73"/>
    </row>
    <row r="2494" spans="1:2" x14ac:dyDescent="0.25">
      <c r="A2494" s="73"/>
      <c r="B2494" s="73"/>
    </row>
    <row r="2495" spans="1:2" x14ac:dyDescent="0.25">
      <c r="A2495" s="73"/>
      <c r="B2495" s="73"/>
    </row>
    <row r="2496" spans="1:2" x14ac:dyDescent="0.25">
      <c r="A2496" s="73"/>
      <c r="B2496" s="73"/>
    </row>
    <row r="2497" spans="1:2" x14ac:dyDescent="0.25">
      <c r="A2497" s="73"/>
      <c r="B2497" s="73"/>
    </row>
    <row r="2498" spans="1:2" x14ac:dyDescent="0.25">
      <c r="A2498" s="73"/>
      <c r="B2498" s="73"/>
    </row>
    <row r="2499" spans="1:2" x14ac:dyDescent="0.25">
      <c r="A2499" s="73"/>
      <c r="B2499" s="73"/>
    </row>
    <row r="2500" spans="1:2" x14ac:dyDescent="0.25">
      <c r="A2500" s="73"/>
      <c r="B2500" s="73"/>
    </row>
    <row r="2501" spans="1:2" x14ac:dyDescent="0.25">
      <c r="A2501" s="73"/>
      <c r="B2501" s="73"/>
    </row>
    <row r="2502" spans="1:2" x14ac:dyDescent="0.25">
      <c r="A2502" s="73"/>
      <c r="B2502" s="73"/>
    </row>
    <row r="2503" spans="1:2" x14ac:dyDescent="0.25">
      <c r="A2503" s="73"/>
      <c r="B2503" s="73"/>
    </row>
    <row r="2504" spans="1:2" x14ac:dyDescent="0.25">
      <c r="A2504" s="73"/>
      <c r="B2504" s="73"/>
    </row>
    <row r="2505" spans="1:2" x14ac:dyDescent="0.25">
      <c r="A2505" s="73"/>
      <c r="B2505" s="73"/>
    </row>
    <row r="2506" spans="1:2" x14ac:dyDescent="0.25">
      <c r="A2506" s="73"/>
      <c r="B2506" s="73"/>
    </row>
    <row r="2507" spans="1:2" x14ac:dyDescent="0.25">
      <c r="A2507" s="73"/>
      <c r="B2507" s="73"/>
    </row>
    <row r="2508" spans="1:2" x14ac:dyDescent="0.25">
      <c r="A2508" s="73"/>
      <c r="B2508" s="73"/>
    </row>
    <row r="2509" spans="1:2" x14ac:dyDescent="0.25">
      <c r="A2509" s="73"/>
      <c r="B2509" s="73"/>
    </row>
    <row r="2510" spans="1:2" x14ac:dyDescent="0.25">
      <c r="A2510" s="73"/>
      <c r="B2510" s="73"/>
    </row>
    <row r="2511" spans="1:2" x14ac:dyDescent="0.25">
      <c r="A2511" s="73"/>
      <c r="B2511" s="73"/>
    </row>
    <row r="2512" spans="1:2" x14ac:dyDescent="0.25">
      <c r="A2512" s="73"/>
      <c r="B2512" s="73"/>
    </row>
    <row r="2513" spans="1:2" x14ac:dyDescent="0.25">
      <c r="A2513" s="73"/>
      <c r="B2513" s="73"/>
    </row>
    <row r="2514" spans="1:2" x14ac:dyDescent="0.25">
      <c r="A2514" s="73"/>
      <c r="B2514" s="73"/>
    </row>
    <row r="2515" spans="1:2" x14ac:dyDescent="0.25">
      <c r="A2515" s="73"/>
      <c r="B2515" s="73"/>
    </row>
    <row r="2516" spans="1:2" x14ac:dyDescent="0.25">
      <c r="A2516" s="73"/>
      <c r="B2516" s="73"/>
    </row>
    <row r="2517" spans="1:2" x14ac:dyDescent="0.25">
      <c r="A2517" s="73"/>
      <c r="B2517" s="73"/>
    </row>
    <row r="2518" spans="1:2" x14ac:dyDescent="0.25">
      <c r="A2518" s="73"/>
      <c r="B2518" s="73"/>
    </row>
    <row r="2519" spans="1:2" x14ac:dyDescent="0.25">
      <c r="A2519" s="73"/>
      <c r="B2519" s="73"/>
    </row>
    <row r="2520" spans="1:2" x14ac:dyDescent="0.25">
      <c r="A2520" s="73"/>
      <c r="B2520" s="73"/>
    </row>
    <row r="2521" spans="1:2" x14ac:dyDescent="0.25">
      <c r="A2521" s="73"/>
      <c r="B2521" s="73"/>
    </row>
    <row r="2522" spans="1:2" x14ac:dyDescent="0.25">
      <c r="A2522" s="73"/>
      <c r="B2522" s="73"/>
    </row>
    <row r="2523" spans="1:2" x14ac:dyDescent="0.25">
      <c r="A2523" s="73"/>
      <c r="B2523" s="73"/>
    </row>
    <row r="2524" spans="1:2" x14ac:dyDescent="0.25">
      <c r="A2524" s="73"/>
      <c r="B2524" s="73"/>
    </row>
    <row r="2525" spans="1:2" x14ac:dyDescent="0.25">
      <c r="A2525" s="73"/>
      <c r="B2525" s="73"/>
    </row>
    <row r="2526" spans="1:2" x14ac:dyDescent="0.25">
      <c r="A2526" s="73"/>
      <c r="B2526" s="73"/>
    </row>
    <row r="2527" spans="1:2" x14ac:dyDescent="0.25">
      <c r="A2527" s="73"/>
      <c r="B2527" s="73"/>
    </row>
    <row r="2528" spans="1:2" x14ac:dyDescent="0.25">
      <c r="A2528" s="73"/>
      <c r="B2528" s="73"/>
    </row>
    <row r="2529" spans="1:2" x14ac:dyDescent="0.25">
      <c r="A2529" s="73"/>
      <c r="B2529" s="73"/>
    </row>
    <row r="2530" spans="1:2" x14ac:dyDescent="0.25">
      <c r="A2530" s="73"/>
      <c r="B2530" s="73"/>
    </row>
    <row r="2531" spans="1:2" x14ac:dyDescent="0.25">
      <c r="A2531" s="73"/>
      <c r="B2531" s="73"/>
    </row>
    <row r="2532" spans="1:2" x14ac:dyDescent="0.25">
      <c r="A2532" s="73"/>
      <c r="B2532" s="73"/>
    </row>
    <row r="2533" spans="1:2" x14ac:dyDescent="0.25">
      <c r="A2533" s="73"/>
      <c r="B2533" s="73"/>
    </row>
    <row r="2534" spans="1:2" x14ac:dyDescent="0.25">
      <c r="A2534" s="73"/>
      <c r="B2534" s="73"/>
    </row>
    <row r="2535" spans="1:2" x14ac:dyDescent="0.25">
      <c r="A2535" s="73"/>
      <c r="B2535" s="73"/>
    </row>
    <row r="2536" spans="1:2" x14ac:dyDescent="0.25">
      <c r="A2536" s="73"/>
      <c r="B2536" s="73"/>
    </row>
    <row r="2537" spans="1:2" x14ac:dyDescent="0.25">
      <c r="A2537" s="73"/>
      <c r="B2537" s="73"/>
    </row>
    <row r="2538" spans="1:2" x14ac:dyDescent="0.25">
      <c r="A2538" s="73"/>
      <c r="B2538" s="73"/>
    </row>
    <row r="2539" spans="1:2" x14ac:dyDescent="0.25">
      <c r="A2539" s="73"/>
      <c r="B2539" s="73"/>
    </row>
    <row r="2540" spans="1:2" x14ac:dyDescent="0.25">
      <c r="A2540" s="73"/>
      <c r="B2540" s="73"/>
    </row>
    <row r="2541" spans="1:2" x14ac:dyDescent="0.25">
      <c r="A2541" s="73"/>
      <c r="B2541" s="73"/>
    </row>
    <row r="2542" spans="1:2" x14ac:dyDescent="0.25">
      <c r="A2542" s="73"/>
      <c r="B2542" s="73"/>
    </row>
    <row r="2543" spans="1:2" x14ac:dyDescent="0.25">
      <c r="A2543" s="73"/>
      <c r="B2543" s="73"/>
    </row>
    <row r="2544" spans="1:2" x14ac:dyDescent="0.25">
      <c r="A2544" s="73"/>
      <c r="B2544" s="73"/>
    </row>
    <row r="2545" spans="1:2" x14ac:dyDescent="0.25">
      <c r="A2545" s="73"/>
      <c r="B2545" s="73"/>
    </row>
    <row r="2546" spans="1:2" x14ac:dyDescent="0.25">
      <c r="A2546" s="73"/>
      <c r="B2546" s="73"/>
    </row>
    <row r="2547" spans="1:2" x14ac:dyDescent="0.25">
      <c r="A2547" s="73"/>
      <c r="B2547" s="73"/>
    </row>
    <row r="2548" spans="1:2" x14ac:dyDescent="0.25">
      <c r="A2548" s="73"/>
      <c r="B2548" s="73"/>
    </row>
    <row r="2549" spans="1:2" x14ac:dyDescent="0.25">
      <c r="A2549" s="73"/>
      <c r="B2549" s="73"/>
    </row>
    <row r="2550" spans="1:2" x14ac:dyDescent="0.25">
      <c r="A2550" s="73"/>
      <c r="B2550" s="73"/>
    </row>
    <row r="2551" spans="1:2" x14ac:dyDescent="0.25">
      <c r="A2551" s="73"/>
      <c r="B2551" s="73"/>
    </row>
    <row r="2552" spans="1:2" x14ac:dyDescent="0.25">
      <c r="A2552" s="73"/>
      <c r="B2552" s="73"/>
    </row>
    <row r="2553" spans="1:2" x14ac:dyDescent="0.25">
      <c r="A2553" s="73"/>
      <c r="B2553" s="73"/>
    </row>
    <row r="2554" spans="1:2" x14ac:dyDescent="0.25">
      <c r="A2554" s="73"/>
      <c r="B2554" s="73"/>
    </row>
    <row r="2555" spans="1:2" x14ac:dyDescent="0.25">
      <c r="A2555" s="73"/>
      <c r="B2555" s="73"/>
    </row>
    <row r="2556" spans="1:2" x14ac:dyDescent="0.25">
      <c r="A2556" s="73"/>
      <c r="B2556" s="73"/>
    </row>
    <row r="2557" spans="1:2" x14ac:dyDescent="0.25">
      <c r="A2557" s="73"/>
      <c r="B2557" s="73"/>
    </row>
    <row r="2558" spans="1:2" x14ac:dyDescent="0.25">
      <c r="A2558" s="73"/>
      <c r="B2558" s="73"/>
    </row>
    <row r="2559" spans="1:2" x14ac:dyDescent="0.25">
      <c r="A2559" s="73"/>
      <c r="B2559" s="73"/>
    </row>
    <row r="2560" spans="1:2" x14ac:dyDescent="0.25">
      <c r="A2560" s="73"/>
      <c r="B2560" s="73"/>
    </row>
    <row r="2561" spans="1:2" x14ac:dyDescent="0.25">
      <c r="A2561" s="73"/>
      <c r="B2561" s="73"/>
    </row>
    <row r="2562" spans="1:2" x14ac:dyDescent="0.25">
      <c r="A2562" s="73"/>
      <c r="B2562" s="73"/>
    </row>
    <row r="2563" spans="1:2" x14ac:dyDescent="0.25">
      <c r="A2563" s="73"/>
      <c r="B2563" s="73"/>
    </row>
    <row r="2564" spans="1:2" x14ac:dyDescent="0.25">
      <c r="A2564" s="73"/>
      <c r="B2564" s="73"/>
    </row>
    <row r="2565" spans="1:2" x14ac:dyDescent="0.25">
      <c r="A2565" s="73"/>
      <c r="B2565" s="73"/>
    </row>
    <row r="2566" spans="1:2" x14ac:dyDescent="0.25">
      <c r="A2566" s="73"/>
      <c r="B2566" s="73"/>
    </row>
    <row r="2567" spans="1:2" x14ac:dyDescent="0.25">
      <c r="A2567" s="73"/>
      <c r="B2567" s="73"/>
    </row>
    <row r="2568" spans="1:2" x14ac:dyDescent="0.25">
      <c r="A2568" s="73"/>
      <c r="B2568" s="73"/>
    </row>
    <row r="2569" spans="1:2" x14ac:dyDescent="0.25">
      <c r="A2569" s="73"/>
      <c r="B2569" s="73"/>
    </row>
    <row r="2570" spans="1:2" x14ac:dyDescent="0.25">
      <c r="A2570" s="73"/>
      <c r="B2570" s="73"/>
    </row>
    <row r="2571" spans="1:2" x14ac:dyDescent="0.25">
      <c r="A2571" s="73"/>
      <c r="B2571" s="73"/>
    </row>
    <row r="2572" spans="1:2" x14ac:dyDescent="0.25">
      <c r="A2572" s="73"/>
      <c r="B2572" s="73"/>
    </row>
    <row r="2573" spans="1:2" x14ac:dyDescent="0.25">
      <c r="A2573" s="73"/>
      <c r="B2573" s="73"/>
    </row>
    <row r="2574" spans="1:2" x14ac:dyDescent="0.25">
      <c r="A2574" s="73"/>
      <c r="B2574" s="73"/>
    </row>
    <row r="2575" spans="1:2" x14ac:dyDescent="0.25">
      <c r="A2575" s="73"/>
      <c r="B2575" s="73"/>
    </row>
    <row r="2576" spans="1:2" x14ac:dyDescent="0.25">
      <c r="A2576" s="73"/>
      <c r="B2576" s="73"/>
    </row>
    <row r="2577" spans="1:2" x14ac:dyDescent="0.25">
      <c r="A2577" s="73"/>
      <c r="B2577" s="73"/>
    </row>
    <row r="2578" spans="1:2" x14ac:dyDescent="0.25">
      <c r="A2578" s="73"/>
      <c r="B2578" s="73"/>
    </row>
    <row r="2579" spans="1:2" x14ac:dyDescent="0.25">
      <c r="A2579" s="73"/>
      <c r="B2579" s="73"/>
    </row>
    <row r="2580" spans="1:2" x14ac:dyDescent="0.25">
      <c r="A2580" s="73"/>
      <c r="B2580" s="73"/>
    </row>
    <row r="2581" spans="1:2" x14ac:dyDescent="0.25">
      <c r="A2581" s="73"/>
      <c r="B2581" s="73"/>
    </row>
    <row r="2582" spans="1:2" x14ac:dyDescent="0.25">
      <c r="A2582" s="73"/>
      <c r="B2582" s="73"/>
    </row>
    <row r="2583" spans="1:2" x14ac:dyDescent="0.25">
      <c r="A2583" s="73"/>
      <c r="B2583" s="73"/>
    </row>
    <row r="2584" spans="1:2" x14ac:dyDescent="0.25">
      <c r="A2584" s="73"/>
      <c r="B2584" s="73"/>
    </row>
    <row r="2585" spans="1:2" x14ac:dyDescent="0.25">
      <c r="A2585" s="73"/>
      <c r="B2585" s="73"/>
    </row>
    <row r="2586" spans="1:2" x14ac:dyDescent="0.25">
      <c r="A2586" s="73"/>
      <c r="B2586" s="73"/>
    </row>
    <row r="2587" spans="1:2" x14ac:dyDescent="0.25">
      <c r="A2587" s="73"/>
      <c r="B2587" s="73"/>
    </row>
    <row r="2588" spans="1:2" x14ac:dyDescent="0.25">
      <c r="A2588" s="73"/>
      <c r="B2588" s="73"/>
    </row>
    <row r="2589" spans="1:2" x14ac:dyDescent="0.25">
      <c r="A2589" s="73"/>
      <c r="B2589" s="73"/>
    </row>
    <row r="2590" spans="1:2" x14ac:dyDescent="0.25">
      <c r="A2590" s="73"/>
      <c r="B2590" s="73"/>
    </row>
    <row r="2591" spans="1:2" x14ac:dyDescent="0.25">
      <c r="A2591" s="73"/>
      <c r="B2591" s="73"/>
    </row>
    <row r="2592" spans="1:2" x14ac:dyDescent="0.25">
      <c r="A2592" s="73"/>
      <c r="B2592" s="73"/>
    </row>
    <row r="2593" spans="1:2" x14ac:dyDescent="0.25">
      <c r="A2593" s="73"/>
      <c r="B2593" s="73"/>
    </row>
    <row r="2594" spans="1:2" x14ac:dyDescent="0.25">
      <c r="A2594" s="73"/>
      <c r="B2594" s="73"/>
    </row>
    <row r="2595" spans="1:2" x14ac:dyDescent="0.25">
      <c r="A2595" s="73"/>
      <c r="B2595" s="73"/>
    </row>
    <row r="2596" spans="1:2" x14ac:dyDescent="0.25">
      <c r="A2596" s="73"/>
      <c r="B2596" s="73"/>
    </row>
    <row r="2597" spans="1:2" x14ac:dyDescent="0.25">
      <c r="A2597" s="73"/>
      <c r="B2597" s="73"/>
    </row>
    <row r="2598" spans="1:2" x14ac:dyDescent="0.25">
      <c r="A2598" s="73"/>
      <c r="B2598" s="73"/>
    </row>
    <row r="2599" spans="1:2" x14ac:dyDescent="0.25">
      <c r="A2599" s="73"/>
      <c r="B2599" s="73"/>
    </row>
    <row r="2600" spans="1:2" x14ac:dyDescent="0.25">
      <c r="A2600" s="73"/>
      <c r="B2600" s="73"/>
    </row>
    <row r="2601" spans="1:2" x14ac:dyDescent="0.25">
      <c r="A2601" s="73"/>
      <c r="B2601" s="73"/>
    </row>
    <row r="2602" spans="1:2" x14ac:dyDescent="0.25">
      <c r="A2602" s="73"/>
      <c r="B2602" s="73"/>
    </row>
    <row r="2603" spans="1:2" x14ac:dyDescent="0.25">
      <c r="A2603" s="73"/>
      <c r="B2603" s="73"/>
    </row>
    <row r="2604" spans="1:2" x14ac:dyDescent="0.25">
      <c r="A2604" s="73"/>
      <c r="B2604" s="73"/>
    </row>
    <row r="2605" spans="1:2" x14ac:dyDescent="0.25">
      <c r="A2605" s="73"/>
      <c r="B2605" s="73"/>
    </row>
    <row r="2606" spans="1:2" x14ac:dyDescent="0.25">
      <c r="A2606" s="73"/>
      <c r="B2606" s="73"/>
    </row>
    <row r="2607" spans="1:2" x14ac:dyDescent="0.25">
      <c r="A2607" s="73"/>
      <c r="B2607" s="73"/>
    </row>
    <row r="2608" spans="1:2" x14ac:dyDescent="0.25">
      <c r="A2608" s="73"/>
      <c r="B2608" s="73"/>
    </row>
    <row r="2609" spans="1:2" x14ac:dyDescent="0.25">
      <c r="A2609" s="73"/>
      <c r="B2609" s="73"/>
    </row>
    <row r="2610" spans="1:2" x14ac:dyDescent="0.25">
      <c r="A2610" s="73"/>
      <c r="B2610" s="73"/>
    </row>
    <row r="2611" spans="1:2" x14ac:dyDescent="0.25">
      <c r="A2611" s="73"/>
      <c r="B2611" s="73"/>
    </row>
    <row r="2612" spans="1:2" x14ac:dyDescent="0.25">
      <c r="A2612" s="73"/>
      <c r="B2612" s="73"/>
    </row>
    <row r="2613" spans="1:2" x14ac:dyDescent="0.25">
      <c r="A2613" s="73"/>
      <c r="B2613" s="73"/>
    </row>
    <row r="2614" spans="1:2" x14ac:dyDescent="0.25">
      <c r="A2614" s="73"/>
      <c r="B2614" s="73"/>
    </row>
    <row r="2615" spans="1:2" x14ac:dyDescent="0.25">
      <c r="A2615" s="73"/>
      <c r="B2615" s="73"/>
    </row>
    <row r="2616" spans="1:2" x14ac:dyDescent="0.25">
      <c r="A2616" s="73"/>
      <c r="B2616" s="73"/>
    </row>
    <row r="2617" spans="1:2" x14ac:dyDescent="0.25">
      <c r="A2617" s="73"/>
      <c r="B2617" s="73"/>
    </row>
    <row r="2618" spans="1:2" x14ac:dyDescent="0.25">
      <c r="A2618" s="73"/>
      <c r="B2618" s="73"/>
    </row>
    <row r="2619" spans="1:2" x14ac:dyDescent="0.25">
      <c r="A2619" s="73"/>
      <c r="B2619" s="73"/>
    </row>
    <row r="2620" spans="1:2" x14ac:dyDescent="0.25">
      <c r="A2620" s="73"/>
      <c r="B2620" s="73"/>
    </row>
    <row r="2621" spans="1:2" x14ac:dyDescent="0.25">
      <c r="A2621" s="73"/>
      <c r="B2621" s="73"/>
    </row>
    <row r="2622" spans="1:2" x14ac:dyDescent="0.25">
      <c r="A2622" s="73"/>
      <c r="B2622" s="73"/>
    </row>
    <row r="2623" spans="1:2" x14ac:dyDescent="0.25">
      <c r="A2623" s="73"/>
      <c r="B2623" s="73"/>
    </row>
    <row r="2624" spans="1:2" x14ac:dyDescent="0.25">
      <c r="A2624" s="73"/>
      <c r="B2624" s="73"/>
    </row>
    <row r="2625" spans="1:2" x14ac:dyDescent="0.25">
      <c r="A2625" s="73"/>
      <c r="B2625" s="73"/>
    </row>
    <row r="2626" spans="1:2" x14ac:dyDescent="0.25">
      <c r="A2626" s="73"/>
      <c r="B2626" s="73"/>
    </row>
    <row r="2627" spans="1:2" x14ac:dyDescent="0.25">
      <c r="A2627" s="73"/>
      <c r="B2627" s="73"/>
    </row>
    <row r="2628" spans="1:2" x14ac:dyDescent="0.25">
      <c r="A2628" s="73"/>
      <c r="B2628" s="73"/>
    </row>
    <row r="2629" spans="1:2" x14ac:dyDescent="0.25">
      <c r="A2629" s="73"/>
      <c r="B2629" s="73"/>
    </row>
    <row r="2630" spans="1:2" x14ac:dyDescent="0.25">
      <c r="A2630" s="73"/>
      <c r="B2630" s="73"/>
    </row>
    <row r="2631" spans="1:2" x14ac:dyDescent="0.25">
      <c r="A2631" s="73"/>
      <c r="B2631" s="73"/>
    </row>
    <row r="2632" spans="1:2" x14ac:dyDescent="0.25">
      <c r="A2632" s="73"/>
      <c r="B2632" s="73"/>
    </row>
    <row r="2633" spans="1:2" x14ac:dyDescent="0.25">
      <c r="A2633" s="73"/>
      <c r="B2633" s="73"/>
    </row>
    <row r="2634" spans="1:2" x14ac:dyDescent="0.25">
      <c r="A2634" s="73"/>
      <c r="B2634" s="73"/>
    </row>
    <row r="2635" spans="1:2" x14ac:dyDescent="0.25">
      <c r="A2635" s="73"/>
      <c r="B2635" s="73"/>
    </row>
    <row r="2636" spans="1:2" x14ac:dyDescent="0.25">
      <c r="A2636" s="73"/>
      <c r="B2636" s="73"/>
    </row>
    <row r="2637" spans="1:2" x14ac:dyDescent="0.25">
      <c r="A2637" s="73"/>
      <c r="B2637" s="73"/>
    </row>
    <row r="2638" spans="1:2" x14ac:dyDescent="0.25">
      <c r="A2638" s="73"/>
      <c r="B2638" s="73"/>
    </row>
    <row r="2639" spans="1:2" x14ac:dyDescent="0.25">
      <c r="A2639" s="73"/>
      <c r="B2639" s="73"/>
    </row>
    <row r="2640" spans="1:2" x14ac:dyDescent="0.25">
      <c r="A2640" s="73"/>
      <c r="B2640" s="73"/>
    </row>
    <row r="2641" spans="1:2" x14ac:dyDescent="0.25">
      <c r="A2641" s="73"/>
      <c r="B2641" s="73"/>
    </row>
    <row r="2642" spans="1:2" x14ac:dyDescent="0.25">
      <c r="A2642" s="73"/>
      <c r="B2642" s="73"/>
    </row>
    <row r="2643" spans="1:2" x14ac:dyDescent="0.25">
      <c r="A2643" s="73"/>
      <c r="B2643" s="73"/>
    </row>
    <row r="2644" spans="1:2" x14ac:dyDescent="0.25">
      <c r="A2644" s="73"/>
      <c r="B2644" s="73"/>
    </row>
    <row r="2645" spans="1:2" x14ac:dyDescent="0.25">
      <c r="A2645" s="73"/>
      <c r="B2645" s="73"/>
    </row>
    <row r="2646" spans="1:2" x14ac:dyDescent="0.25">
      <c r="A2646" s="73"/>
      <c r="B2646" s="73"/>
    </row>
    <row r="2647" spans="1:2" x14ac:dyDescent="0.25">
      <c r="A2647" s="73"/>
      <c r="B2647" s="73"/>
    </row>
    <row r="2648" spans="1:2" x14ac:dyDescent="0.25">
      <c r="A2648" s="73"/>
      <c r="B2648" s="73"/>
    </row>
    <row r="2649" spans="1:2" x14ac:dyDescent="0.25">
      <c r="A2649" s="73"/>
      <c r="B2649" s="73"/>
    </row>
    <row r="2650" spans="1:2" x14ac:dyDescent="0.25">
      <c r="A2650" s="73"/>
      <c r="B2650" s="73"/>
    </row>
    <row r="2651" spans="1:2" x14ac:dyDescent="0.25">
      <c r="A2651" s="73"/>
      <c r="B2651" s="73"/>
    </row>
    <row r="2652" spans="1:2" x14ac:dyDescent="0.25">
      <c r="A2652" s="73"/>
      <c r="B2652" s="73"/>
    </row>
    <row r="2653" spans="1:2" x14ac:dyDescent="0.25">
      <c r="A2653" s="73"/>
      <c r="B2653" s="73"/>
    </row>
    <row r="2654" spans="1:2" x14ac:dyDescent="0.25">
      <c r="A2654" s="73"/>
      <c r="B2654" s="73"/>
    </row>
    <row r="2655" spans="1:2" x14ac:dyDescent="0.25">
      <c r="A2655" s="73"/>
      <c r="B2655" s="73"/>
    </row>
    <row r="2656" spans="1:2" x14ac:dyDescent="0.25">
      <c r="A2656" s="73"/>
      <c r="B2656" s="73"/>
    </row>
    <row r="2657" spans="1:2" x14ac:dyDescent="0.25">
      <c r="A2657" s="73"/>
      <c r="B2657" s="73"/>
    </row>
    <row r="2658" spans="1:2" x14ac:dyDescent="0.25">
      <c r="A2658" s="73"/>
      <c r="B2658" s="73"/>
    </row>
    <row r="2659" spans="1:2" x14ac:dyDescent="0.25">
      <c r="A2659" s="73"/>
      <c r="B2659" s="73"/>
    </row>
    <row r="2660" spans="1:2" x14ac:dyDescent="0.25">
      <c r="A2660" s="73"/>
      <c r="B2660" s="73"/>
    </row>
    <row r="2661" spans="1:2" x14ac:dyDescent="0.25">
      <c r="A2661" s="73"/>
      <c r="B2661" s="73"/>
    </row>
    <row r="2662" spans="1:2" x14ac:dyDescent="0.25">
      <c r="A2662" s="73"/>
      <c r="B2662" s="73"/>
    </row>
    <row r="2663" spans="1:2" x14ac:dyDescent="0.25">
      <c r="A2663" s="73"/>
      <c r="B2663" s="73"/>
    </row>
    <row r="2664" spans="1:2" x14ac:dyDescent="0.25">
      <c r="A2664" s="73"/>
      <c r="B2664" s="73"/>
    </row>
    <row r="2665" spans="1:2" x14ac:dyDescent="0.25">
      <c r="A2665" s="73"/>
      <c r="B2665" s="73"/>
    </row>
    <row r="2666" spans="1:2" x14ac:dyDescent="0.25">
      <c r="A2666" s="73"/>
      <c r="B2666" s="73"/>
    </row>
    <row r="2667" spans="1:2" x14ac:dyDescent="0.25">
      <c r="A2667" s="73"/>
      <c r="B2667" s="73"/>
    </row>
    <row r="2668" spans="1:2" x14ac:dyDescent="0.25">
      <c r="A2668" s="73"/>
      <c r="B2668" s="73"/>
    </row>
    <row r="2669" spans="1:2" x14ac:dyDescent="0.25">
      <c r="A2669" s="73"/>
      <c r="B2669" s="73"/>
    </row>
    <row r="2670" spans="1:2" x14ac:dyDescent="0.25">
      <c r="A2670" s="73"/>
      <c r="B2670" s="73"/>
    </row>
    <row r="2671" spans="1:2" x14ac:dyDescent="0.25">
      <c r="A2671" s="73"/>
      <c r="B2671" s="73"/>
    </row>
    <row r="2672" spans="1:2" x14ac:dyDescent="0.25">
      <c r="A2672" s="73"/>
      <c r="B2672" s="73"/>
    </row>
    <row r="2673" spans="1:2" x14ac:dyDescent="0.25">
      <c r="A2673" s="73"/>
      <c r="B2673" s="73"/>
    </row>
    <row r="2674" spans="1:2" x14ac:dyDescent="0.25">
      <c r="A2674" s="73"/>
      <c r="B2674" s="73"/>
    </row>
    <row r="2675" spans="1:2" x14ac:dyDescent="0.25">
      <c r="A2675" s="73"/>
      <c r="B2675" s="73"/>
    </row>
    <row r="2676" spans="1:2" x14ac:dyDescent="0.25">
      <c r="A2676" s="73"/>
      <c r="B2676" s="73"/>
    </row>
    <row r="2677" spans="1:2" x14ac:dyDescent="0.25">
      <c r="A2677" s="73"/>
      <c r="B2677" s="73"/>
    </row>
    <row r="2678" spans="1:2" x14ac:dyDescent="0.25">
      <c r="A2678" s="73"/>
      <c r="B2678" s="73"/>
    </row>
    <row r="2679" spans="1:2" x14ac:dyDescent="0.25">
      <c r="A2679" s="73"/>
      <c r="B2679" s="73"/>
    </row>
    <row r="2680" spans="1:2" x14ac:dyDescent="0.25">
      <c r="A2680" s="73"/>
      <c r="B2680" s="73"/>
    </row>
    <row r="2681" spans="1:2" x14ac:dyDescent="0.25">
      <c r="A2681" s="73"/>
      <c r="B2681" s="73"/>
    </row>
    <row r="2682" spans="1:2" x14ac:dyDescent="0.25">
      <c r="A2682" s="73"/>
      <c r="B2682" s="73"/>
    </row>
    <row r="2683" spans="1:2" x14ac:dyDescent="0.25">
      <c r="A2683" s="73"/>
      <c r="B2683" s="73"/>
    </row>
    <row r="2684" spans="1:2" x14ac:dyDescent="0.25">
      <c r="A2684" s="73"/>
      <c r="B2684" s="73"/>
    </row>
    <row r="2685" spans="1:2" x14ac:dyDescent="0.25">
      <c r="A2685" s="73"/>
      <c r="B2685" s="73"/>
    </row>
    <row r="2686" spans="1:2" x14ac:dyDescent="0.25">
      <c r="A2686" s="73"/>
      <c r="B2686" s="73"/>
    </row>
    <row r="2687" spans="1:2" x14ac:dyDescent="0.25">
      <c r="A2687" s="73"/>
      <c r="B2687" s="73"/>
    </row>
    <row r="2688" spans="1:2" x14ac:dyDescent="0.25">
      <c r="A2688" s="73"/>
      <c r="B2688" s="73"/>
    </row>
    <row r="2689" spans="1:2" x14ac:dyDescent="0.25">
      <c r="A2689" s="73"/>
      <c r="B2689" s="73"/>
    </row>
    <row r="2690" spans="1:2" x14ac:dyDescent="0.25">
      <c r="A2690" s="73"/>
      <c r="B2690" s="73"/>
    </row>
    <row r="2691" spans="1:2" x14ac:dyDescent="0.25">
      <c r="A2691" s="73"/>
      <c r="B2691" s="73"/>
    </row>
    <row r="2692" spans="1:2" x14ac:dyDescent="0.25">
      <c r="A2692" s="73"/>
      <c r="B2692" s="73"/>
    </row>
    <row r="2693" spans="1:2" x14ac:dyDescent="0.25">
      <c r="A2693" s="73"/>
      <c r="B2693" s="73"/>
    </row>
    <row r="2694" spans="1:2" x14ac:dyDescent="0.25">
      <c r="A2694" s="73"/>
      <c r="B2694" s="73"/>
    </row>
    <row r="2695" spans="1:2" x14ac:dyDescent="0.25">
      <c r="A2695" s="73"/>
      <c r="B2695" s="73"/>
    </row>
    <row r="2696" spans="1:2" x14ac:dyDescent="0.25">
      <c r="A2696" s="73"/>
      <c r="B2696" s="73"/>
    </row>
    <row r="2697" spans="1:2" x14ac:dyDescent="0.25">
      <c r="A2697" s="73"/>
      <c r="B2697" s="73"/>
    </row>
    <row r="2698" spans="1:2" x14ac:dyDescent="0.25">
      <c r="A2698" s="73"/>
      <c r="B2698" s="73"/>
    </row>
    <row r="2699" spans="1:2" x14ac:dyDescent="0.25">
      <c r="A2699" s="73"/>
      <c r="B2699" s="73"/>
    </row>
    <row r="2700" spans="1:2" x14ac:dyDescent="0.25">
      <c r="A2700" s="73"/>
      <c r="B2700" s="73"/>
    </row>
    <row r="2701" spans="1:2" x14ac:dyDescent="0.25">
      <c r="A2701" s="73"/>
      <c r="B2701" s="73"/>
    </row>
    <row r="2702" spans="1:2" x14ac:dyDescent="0.25">
      <c r="A2702" s="73"/>
      <c r="B2702" s="73"/>
    </row>
    <row r="2703" spans="1:2" x14ac:dyDescent="0.25">
      <c r="A2703" s="73"/>
      <c r="B2703" s="73"/>
    </row>
    <row r="2704" spans="1:2" x14ac:dyDescent="0.25">
      <c r="A2704" s="73"/>
      <c r="B2704" s="73"/>
    </row>
    <row r="2705" spans="1:2" x14ac:dyDescent="0.25">
      <c r="A2705" s="73"/>
      <c r="B2705" s="73"/>
    </row>
    <row r="2706" spans="1:2" x14ac:dyDescent="0.25">
      <c r="A2706" s="73"/>
      <c r="B2706" s="73"/>
    </row>
    <row r="2707" spans="1:2" x14ac:dyDescent="0.25">
      <c r="A2707" s="73"/>
      <c r="B2707" s="73"/>
    </row>
    <row r="2708" spans="1:2" x14ac:dyDescent="0.25">
      <c r="A2708" s="73"/>
      <c r="B2708" s="73"/>
    </row>
    <row r="2709" spans="1:2" x14ac:dyDescent="0.25">
      <c r="A2709" s="73"/>
      <c r="B2709" s="73"/>
    </row>
    <row r="2710" spans="1:2" x14ac:dyDescent="0.25">
      <c r="A2710" s="73"/>
      <c r="B2710" s="73"/>
    </row>
    <row r="2711" spans="1:2" x14ac:dyDescent="0.25">
      <c r="A2711" s="73"/>
      <c r="B2711" s="73"/>
    </row>
    <row r="2712" spans="1:2" x14ac:dyDescent="0.25">
      <c r="A2712" s="73"/>
      <c r="B2712" s="73"/>
    </row>
    <row r="2713" spans="1:2" x14ac:dyDescent="0.25">
      <c r="A2713" s="73"/>
      <c r="B2713" s="73"/>
    </row>
    <row r="2714" spans="1:2" x14ac:dyDescent="0.25">
      <c r="A2714" s="73"/>
      <c r="B2714" s="73"/>
    </row>
    <row r="2715" spans="1:2" x14ac:dyDescent="0.25">
      <c r="A2715" s="73"/>
      <c r="B2715" s="73"/>
    </row>
    <row r="2716" spans="1:2" x14ac:dyDescent="0.25">
      <c r="A2716" s="73"/>
      <c r="B2716" s="73"/>
    </row>
    <row r="2717" spans="1:2" x14ac:dyDescent="0.25">
      <c r="A2717" s="73"/>
      <c r="B2717" s="73"/>
    </row>
    <row r="2718" spans="1:2" x14ac:dyDescent="0.25">
      <c r="A2718" s="73"/>
      <c r="B2718" s="73"/>
    </row>
    <row r="2719" spans="1:2" x14ac:dyDescent="0.25">
      <c r="A2719" s="73"/>
      <c r="B2719" s="73"/>
    </row>
    <row r="2720" spans="1:2" x14ac:dyDescent="0.25">
      <c r="A2720" s="73"/>
      <c r="B2720" s="73"/>
    </row>
    <row r="2721" spans="1:2" x14ac:dyDescent="0.25">
      <c r="A2721" s="73"/>
      <c r="B2721" s="73"/>
    </row>
    <row r="2722" spans="1:2" x14ac:dyDescent="0.25">
      <c r="A2722" s="73"/>
      <c r="B2722" s="73"/>
    </row>
    <row r="2723" spans="1:2" x14ac:dyDescent="0.25">
      <c r="A2723" s="73"/>
      <c r="B2723" s="73"/>
    </row>
    <row r="2724" spans="1:2" x14ac:dyDescent="0.25">
      <c r="A2724" s="73"/>
      <c r="B2724" s="73"/>
    </row>
    <row r="2725" spans="1:2" x14ac:dyDescent="0.25">
      <c r="A2725" s="73"/>
      <c r="B2725" s="73"/>
    </row>
    <row r="2726" spans="1:2" x14ac:dyDescent="0.25">
      <c r="A2726" s="73"/>
      <c r="B2726" s="73"/>
    </row>
    <row r="2727" spans="1:2" x14ac:dyDescent="0.25">
      <c r="A2727" s="73"/>
      <c r="B2727" s="73"/>
    </row>
    <row r="2728" spans="1:2" x14ac:dyDescent="0.25">
      <c r="A2728" s="73"/>
      <c r="B2728" s="73"/>
    </row>
    <row r="2729" spans="1:2" x14ac:dyDescent="0.25">
      <c r="A2729" s="73"/>
      <c r="B2729" s="73"/>
    </row>
    <row r="2730" spans="1:2" x14ac:dyDescent="0.25">
      <c r="A2730" s="73"/>
      <c r="B2730" s="73"/>
    </row>
    <row r="2731" spans="1:2" x14ac:dyDescent="0.25">
      <c r="A2731" s="73"/>
      <c r="B2731" s="73"/>
    </row>
    <row r="2732" spans="1:2" x14ac:dyDescent="0.25">
      <c r="A2732" s="73"/>
      <c r="B2732" s="73"/>
    </row>
    <row r="2733" spans="1:2" x14ac:dyDescent="0.25">
      <c r="A2733" s="73"/>
      <c r="B2733" s="73"/>
    </row>
    <row r="2734" spans="1:2" x14ac:dyDescent="0.25">
      <c r="A2734" s="73"/>
      <c r="B2734" s="73"/>
    </row>
    <row r="2735" spans="1:2" x14ac:dyDescent="0.25">
      <c r="A2735" s="73"/>
      <c r="B2735" s="73"/>
    </row>
    <row r="2736" spans="1:2" x14ac:dyDescent="0.25">
      <c r="A2736" s="73"/>
      <c r="B2736" s="73"/>
    </row>
    <row r="2737" spans="1:2" x14ac:dyDescent="0.25">
      <c r="A2737" s="73"/>
      <c r="B2737" s="73"/>
    </row>
    <row r="2738" spans="1:2" x14ac:dyDescent="0.25">
      <c r="A2738" s="73"/>
      <c r="B2738" s="73"/>
    </row>
    <row r="2739" spans="1:2" x14ac:dyDescent="0.25">
      <c r="A2739" s="73"/>
      <c r="B2739" s="73"/>
    </row>
    <row r="2740" spans="1:2" x14ac:dyDescent="0.25">
      <c r="A2740" s="73"/>
      <c r="B2740" s="73"/>
    </row>
    <row r="2741" spans="1:2" x14ac:dyDescent="0.25">
      <c r="A2741" s="73"/>
      <c r="B2741" s="73"/>
    </row>
    <row r="2742" spans="1:2" x14ac:dyDescent="0.25">
      <c r="A2742" s="73"/>
      <c r="B2742" s="73"/>
    </row>
    <row r="2743" spans="1:2" x14ac:dyDescent="0.25">
      <c r="A2743" s="73"/>
      <c r="B2743" s="73"/>
    </row>
    <row r="2744" spans="1:2" x14ac:dyDescent="0.25">
      <c r="A2744" s="73"/>
      <c r="B2744" s="73"/>
    </row>
    <row r="2745" spans="1:2" x14ac:dyDescent="0.25">
      <c r="A2745" s="73"/>
      <c r="B2745" s="73"/>
    </row>
    <row r="2746" spans="1:2" x14ac:dyDescent="0.25">
      <c r="A2746" s="73"/>
      <c r="B2746" s="73"/>
    </row>
    <row r="2747" spans="1:2" x14ac:dyDescent="0.25">
      <c r="A2747" s="73"/>
      <c r="B2747" s="73"/>
    </row>
    <row r="2748" spans="1:2" x14ac:dyDescent="0.25">
      <c r="A2748" s="73"/>
      <c r="B2748" s="73"/>
    </row>
    <row r="2749" spans="1:2" x14ac:dyDescent="0.25">
      <c r="A2749" s="73"/>
      <c r="B2749" s="73"/>
    </row>
    <row r="2750" spans="1:2" x14ac:dyDescent="0.25">
      <c r="A2750" s="73"/>
      <c r="B2750" s="73"/>
    </row>
    <row r="2751" spans="1:2" x14ac:dyDescent="0.25">
      <c r="A2751" s="73"/>
      <c r="B2751" s="73"/>
    </row>
    <row r="2752" spans="1:2" x14ac:dyDescent="0.25">
      <c r="A2752" s="73"/>
      <c r="B2752" s="73"/>
    </row>
    <row r="2753" spans="1:2" x14ac:dyDescent="0.25">
      <c r="A2753" s="73"/>
      <c r="B2753" s="73"/>
    </row>
    <row r="2754" spans="1:2" x14ac:dyDescent="0.25">
      <c r="A2754" s="73"/>
      <c r="B2754" s="73"/>
    </row>
    <row r="2755" spans="1:2" x14ac:dyDescent="0.25">
      <c r="A2755" s="73"/>
      <c r="B2755" s="73"/>
    </row>
    <row r="2756" spans="1:2" x14ac:dyDescent="0.25">
      <c r="A2756" s="73"/>
      <c r="B2756" s="73"/>
    </row>
    <row r="2757" spans="1:2" x14ac:dyDescent="0.25">
      <c r="A2757" s="73"/>
      <c r="B2757" s="73"/>
    </row>
    <row r="2758" spans="1:2" x14ac:dyDescent="0.25">
      <c r="A2758" s="73"/>
      <c r="B2758" s="73"/>
    </row>
    <row r="2759" spans="1:2" x14ac:dyDescent="0.25">
      <c r="A2759" s="73"/>
      <c r="B2759" s="73"/>
    </row>
    <row r="2760" spans="1:2" x14ac:dyDescent="0.25">
      <c r="A2760" s="73"/>
      <c r="B2760" s="73"/>
    </row>
    <row r="2761" spans="1:2" x14ac:dyDescent="0.25">
      <c r="A2761" s="73"/>
      <c r="B2761" s="73"/>
    </row>
    <row r="2762" spans="1:2" x14ac:dyDescent="0.25">
      <c r="A2762" s="73"/>
      <c r="B2762" s="73"/>
    </row>
    <row r="2763" spans="1:2" x14ac:dyDescent="0.25">
      <c r="A2763" s="73"/>
      <c r="B2763" s="73"/>
    </row>
    <row r="2764" spans="1:2" x14ac:dyDescent="0.25">
      <c r="A2764" s="73"/>
      <c r="B2764" s="73"/>
    </row>
    <row r="2765" spans="1:2" x14ac:dyDescent="0.25">
      <c r="A2765" s="73"/>
      <c r="B2765" s="73"/>
    </row>
    <row r="2766" spans="1:2" x14ac:dyDescent="0.25">
      <c r="A2766" s="73"/>
      <c r="B2766" s="73"/>
    </row>
    <row r="2767" spans="1:2" x14ac:dyDescent="0.25">
      <c r="A2767" s="73"/>
      <c r="B2767" s="73"/>
    </row>
    <row r="2768" spans="1:2" x14ac:dyDescent="0.25">
      <c r="A2768" s="73"/>
      <c r="B2768" s="73"/>
    </row>
    <row r="2769" spans="1:2" x14ac:dyDescent="0.25">
      <c r="A2769" s="73"/>
      <c r="B2769" s="73"/>
    </row>
    <row r="2770" spans="1:2" x14ac:dyDescent="0.25">
      <c r="A2770" s="73"/>
      <c r="B2770" s="73"/>
    </row>
    <row r="2771" spans="1:2" x14ac:dyDescent="0.25">
      <c r="A2771" s="73"/>
      <c r="B2771" s="73"/>
    </row>
    <row r="2772" spans="1:2" x14ac:dyDescent="0.25">
      <c r="A2772" s="73"/>
      <c r="B2772" s="73"/>
    </row>
    <row r="2773" spans="1:2" x14ac:dyDescent="0.25">
      <c r="A2773" s="73"/>
      <c r="B2773" s="73"/>
    </row>
    <row r="2774" spans="1:2" x14ac:dyDescent="0.25">
      <c r="A2774" s="73"/>
      <c r="B2774" s="73"/>
    </row>
    <row r="2775" spans="1:2" x14ac:dyDescent="0.25">
      <c r="A2775" s="73"/>
      <c r="B2775" s="73"/>
    </row>
    <row r="2776" spans="1:2" x14ac:dyDescent="0.25">
      <c r="A2776" s="73"/>
      <c r="B2776" s="73"/>
    </row>
    <row r="2777" spans="1:2" x14ac:dyDescent="0.25">
      <c r="A2777" s="73"/>
      <c r="B2777" s="73"/>
    </row>
    <row r="2778" spans="1:2" x14ac:dyDescent="0.25">
      <c r="A2778" s="73"/>
      <c r="B2778" s="73"/>
    </row>
    <row r="2779" spans="1:2" x14ac:dyDescent="0.25">
      <c r="A2779" s="73"/>
      <c r="B2779" s="73"/>
    </row>
    <row r="2780" spans="1:2" x14ac:dyDescent="0.25">
      <c r="A2780" s="73"/>
      <c r="B2780" s="73"/>
    </row>
    <row r="2781" spans="1:2" x14ac:dyDescent="0.25">
      <c r="A2781" s="73"/>
      <c r="B2781" s="73"/>
    </row>
    <row r="2782" spans="1:2" x14ac:dyDescent="0.25">
      <c r="A2782" s="73"/>
      <c r="B2782" s="73"/>
    </row>
    <row r="2783" spans="1:2" x14ac:dyDescent="0.25">
      <c r="A2783" s="73"/>
      <c r="B2783" s="73"/>
    </row>
    <row r="2784" spans="1:2" x14ac:dyDescent="0.25">
      <c r="A2784" s="73"/>
      <c r="B2784" s="73"/>
    </row>
    <row r="2785" spans="1:2" x14ac:dyDescent="0.25">
      <c r="A2785" s="73"/>
      <c r="B2785" s="73"/>
    </row>
    <row r="2786" spans="1:2" x14ac:dyDescent="0.25">
      <c r="A2786" s="73"/>
      <c r="B2786" s="73"/>
    </row>
    <row r="2787" spans="1:2" x14ac:dyDescent="0.25">
      <c r="A2787" s="73"/>
      <c r="B2787" s="73"/>
    </row>
    <row r="2788" spans="1:2" x14ac:dyDescent="0.25">
      <c r="A2788" s="73"/>
      <c r="B2788" s="73"/>
    </row>
    <row r="2789" spans="1:2" x14ac:dyDescent="0.25">
      <c r="A2789" s="73"/>
      <c r="B2789" s="73"/>
    </row>
    <row r="2790" spans="1:2" x14ac:dyDescent="0.25">
      <c r="A2790" s="73"/>
      <c r="B2790" s="73"/>
    </row>
    <row r="2791" spans="1:2" x14ac:dyDescent="0.25">
      <c r="A2791" s="73"/>
      <c r="B2791" s="73"/>
    </row>
    <row r="2792" spans="1:2" x14ac:dyDescent="0.25">
      <c r="A2792" s="73"/>
      <c r="B2792" s="73"/>
    </row>
    <row r="2793" spans="1:2" x14ac:dyDescent="0.25">
      <c r="A2793" s="73"/>
      <c r="B2793" s="73"/>
    </row>
    <row r="2794" spans="1:2" x14ac:dyDescent="0.25">
      <c r="A2794" s="73"/>
      <c r="B2794" s="73"/>
    </row>
    <row r="2795" spans="1:2" x14ac:dyDescent="0.25">
      <c r="A2795" s="73"/>
      <c r="B2795" s="73"/>
    </row>
    <row r="2796" spans="1:2" x14ac:dyDescent="0.25">
      <c r="A2796" s="73"/>
      <c r="B2796" s="73"/>
    </row>
    <row r="2797" spans="1:2" x14ac:dyDescent="0.25">
      <c r="A2797" s="73"/>
      <c r="B2797" s="73"/>
    </row>
    <row r="2798" spans="1:2" x14ac:dyDescent="0.25">
      <c r="A2798" s="73"/>
      <c r="B2798" s="73"/>
    </row>
    <row r="2799" spans="1:2" x14ac:dyDescent="0.25">
      <c r="A2799" s="73"/>
      <c r="B2799" s="73"/>
    </row>
    <row r="2800" spans="1:2" x14ac:dyDescent="0.25">
      <c r="A2800" s="73"/>
      <c r="B2800" s="73"/>
    </row>
    <row r="2801" spans="1:2" x14ac:dyDescent="0.25">
      <c r="A2801" s="73"/>
      <c r="B2801" s="73"/>
    </row>
    <row r="2802" spans="1:2" x14ac:dyDescent="0.25">
      <c r="A2802" s="73"/>
      <c r="B2802" s="73"/>
    </row>
    <row r="2803" spans="1:2" x14ac:dyDescent="0.25">
      <c r="A2803" s="73"/>
      <c r="B2803" s="73"/>
    </row>
    <row r="2804" spans="1:2" x14ac:dyDescent="0.25">
      <c r="A2804" s="73"/>
      <c r="B2804" s="73"/>
    </row>
    <row r="2805" spans="1:2" x14ac:dyDescent="0.25">
      <c r="A2805" s="73"/>
      <c r="B2805" s="73"/>
    </row>
    <row r="2806" spans="1:2" x14ac:dyDescent="0.25">
      <c r="A2806" s="73"/>
      <c r="B2806" s="73"/>
    </row>
    <row r="2807" spans="1:2" x14ac:dyDescent="0.25">
      <c r="A2807" s="73"/>
      <c r="B2807" s="73"/>
    </row>
    <row r="2808" spans="1:2" x14ac:dyDescent="0.25">
      <c r="A2808" s="73"/>
      <c r="B2808" s="73"/>
    </row>
    <row r="2809" spans="1:2" x14ac:dyDescent="0.25">
      <c r="A2809" s="73"/>
      <c r="B2809" s="73"/>
    </row>
    <row r="2810" spans="1:2" x14ac:dyDescent="0.25">
      <c r="A2810" s="73"/>
      <c r="B2810" s="73"/>
    </row>
    <row r="2811" spans="1:2" x14ac:dyDescent="0.25">
      <c r="A2811" s="73"/>
      <c r="B2811" s="73"/>
    </row>
    <row r="2812" spans="1:2" x14ac:dyDescent="0.25">
      <c r="A2812" s="73"/>
      <c r="B2812" s="73"/>
    </row>
    <row r="2813" spans="1:2" x14ac:dyDescent="0.25">
      <c r="A2813" s="73"/>
      <c r="B2813" s="73"/>
    </row>
    <row r="2814" spans="1:2" x14ac:dyDescent="0.25">
      <c r="A2814" s="73"/>
      <c r="B2814" s="73"/>
    </row>
    <row r="2815" spans="1:2" x14ac:dyDescent="0.25">
      <c r="A2815" s="73"/>
      <c r="B2815" s="73"/>
    </row>
    <row r="2816" spans="1:2" x14ac:dyDescent="0.25">
      <c r="A2816" s="73"/>
      <c r="B2816" s="73"/>
    </row>
    <row r="2817" spans="1:2" x14ac:dyDescent="0.25">
      <c r="A2817" s="73"/>
      <c r="B2817" s="73"/>
    </row>
    <row r="2818" spans="1:2" x14ac:dyDescent="0.25">
      <c r="A2818" s="73"/>
      <c r="B2818" s="73"/>
    </row>
    <row r="2819" spans="1:2" x14ac:dyDescent="0.25">
      <c r="A2819" s="73"/>
      <c r="B2819" s="73"/>
    </row>
    <row r="2820" spans="1:2" x14ac:dyDescent="0.25">
      <c r="A2820" s="73"/>
      <c r="B2820" s="73"/>
    </row>
    <row r="2821" spans="1:2" x14ac:dyDescent="0.25">
      <c r="A2821" s="73"/>
      <c r="B2821" s="73"/>
    </row>
    <row r="2822" spans="1:2" x14ac:dyDescent="0.25">
      <c r="A2822" s="73"/>
      <c r="B2822" s="73"/>
    </row>
    <row r="2823" spans="1:2" x14ac:dyDescent="0.25">
      <c r="A2823" s="73"/>
      <c r="B2823" s="73"/>
    </row>
    <row r="2824" spans="1:2" x14ac:dyDescent="0.25">
      <c r="A2824" s="73"/>
      <c r="B2824" s="73"/>
    </row>
    <row r="2825" spans="1:2" x14ac:dyDescent="0.25">
      <c r="A2825" s="73"/>
      <c r="B2825" s="73"/>
    </row>
    <row r="2826" spans="1:2" x14ac:dyDescent="0.25">
      <c r="A2826" s="73"/>
      <c r="B2826" s="73"/>
    </row>
    <row r="2827" spans="1:2" x14ac:dyDescent="0.25">
      <c r="A2827" s="73"/>
      <c r="B2827" s="73"/>
    </row>
    <row r="2828" spans="1:2" x14ac:dyDescent="0.25">
      <c r="A2828" s="73"/>
      <c r="B2828" s="73"/>
    </row>
    <row r="2829" spans="1:2" x14ac:dyDescent="0.25">
      <c r="A2829" s="73"/>
      <c r="B2829" s="73"/>
    </row>
    <row r="2830" spans="1:2" x14ac:dyDescent="0.25">
      <c r="A2830" s="73"/>
      <c r="B2830" s="73"/>
    </row>
    <row r="2831" spans="1:2" x14ac:dyDescent="0.25">
      <c r="A2831" s="73"/>
      <c r="B2831" s="73"/>
    </row>
    <row r="2832" spans="1:2" x14ac:dyDescent="0.25">
      <c r="A2832" s="73"/>
      <c r="B2832" s="73"/>
    </row>
    <row r="2833" spans="1:2" x14ac:dyDescent="0.25">
      <c r="A2833" s="73"/>
      <c r="B2833" s="73"/>
    </row>
    <row r="2834" spans="1:2" x14ac:dyDescent="0.25">
      <c r="A2834" s="73"/>
      <c r="B2834" s="73"/>
    </row>
    <row r="2835" spans="1:2" x14ac:dyDescent="0.25">
      <c r="A2835" s="73"/>
      <c r="B2835" s="73"/>
    </row>
    <row r="2836" spans="1:2" x14ac:dyDescent="0.25">
      <c r="A2836" s="73"/>
      <c r="B2836" s="73"/>
    </row>
    <row r="2837" spans="1:2" x14ac:dyDescent="0.25">
      <c r="A2837" s="73"/>
      <c r="B2837" s="73"/>
    </row>
    <row r="2838" spans="1:2" x14ac:dyDescent="0.25">
      <c r="A2838" s="73"/>
      <c r="B2838" s="73"/>
    </row>
    <row r="2839" spans="1:2" x14ac:dyDescent="0.25">
      <c r="A2839" s="73"/>
      <c r="B2839" s="73"/>
    </row>
    <row r="2840" spans="1:2" x14ac:dyDescent="0.25">
      <c r="A2840" s="73"/>
      <c r="B2840" s="73"/>
    </row>
    <row r="2841" spans="1:2" x14ac:dyDescent="0.25">
      <c r="A2841" s="73"/>
      <c r="B2841" s="73"/>
    </row>
    <row r="2842" spans="1:2" x14ac:dyDescent="0.25">
      <c r="A2842" s="73"/>
      <c r="B2842" s="73"/>
    </row>
    <row r="2843" spans="1:2" x14ac:dyDescent="0.25">
      <c r="A2843" s="73"/>
      <c r="B2843" s="73"/>
    </row>
    <row r="2844" spans="1:2" x14ac:dyDescent="0.25">
      <c r="A2844" s="73"/>
      <c r="B2844" s="73"/>
    </row>
    <row r="2845" spans="1:2" x14ac:dyDescent="0.25">
      <c r="A2845" s="73"/>
      <c r="B2845" s="73"/>
    </row>
    <row r="2846" spans="1:2" x14ac:dyDescent="0.25">
      <c r="A2846" s="73"/>
      <c r="B2846" s="73"/>
    </row>
    <row r="2847" spans="1:2" x14ac:dyDescent="0.25">
      <c r="A2847" s="73"/>
      <c r="B2847" s="73"/>
    </row>
    <row r="2848" spans="1:2" x14ac:dyDescent="0.25">
      <c r="A2848" s="73"/>
      <c r="B2848" s="73"/>
    </row>
    <row r="2849" spans="1:2" x14ac:dyDescent="0.25">
      <c r="A2849" s="73"/>
      <c r="B2849" s="73"/>
    </row>
    <row r="2850" spans="1:2" x14ac:dyDescent="0.25">
      <c r="A2850" s="73"/>
      <c r="B2850" s="73"/>
    </row>
    <row r="2851" spans="1:2" x14ac:dyDescent="0.25">
      <c r="A2851" s="73"/>
      <c r="B2851" s="73"/>
    </row>
    <row r="2852" spans="1:2" x14ac:dyDescent="0.25">
      <c r="A2852" s="73"/>
      <c r="B2852" s="73"/>
    </row>
    <row r="2853" spans="1:2" x14ac:dyDescent="0.25">
      <c r="A2853" s="73"/>
      <c r="B2853" s="73"/>
    </row>
    <row r="2854" spans="1:2" x14ac:dyDescent="0.25">
      <c r="A2854" s="73"/>
      <c r="B2854" s="73"/>
    </row>
    <row r="2855" spans="1:2" x14ac:dyDescent="0.25">
      <c r="A2855" s="73"/>
      <c r="B2855" s="73"/>
    </row>
    <row r="2856" spans="1:2" x14ac:dyDescent="0.25">
      <c r="A2856" s="73"/>
      <c r="B2856" s="73"/>
    </row>
    <row r="2857" spans="1:2" x14ac:dyDescent="0.25">
      <c r="A2857" s="73"/>
      <c r="B2857" s="73"/>
    </row>
    <row r="2858" spans="1:2" x14ac:dyDescent="0.25">
      <c r="A2858" s="73"/>
      <c r="B2858" s="73"/>
    </row>
    <row r="2859" spans="1:2" x14ac:dyDescent="0.25">
      <c r="A2859" s="73"/>
      <c r="B2859" s="73"/>
    </row>
    <row r="2860" spans="1:2" x14ac:dyDescent="0.25">
      <c r="A2860" s="73"/>
      <c r="B2860" s="73"/>
    </row>
    <row r="2861" spans="1:2" x14ac:dyDescent="0.25">
      <c r="A2861" s="73"/>
      <c r="B2861" s="73"/>
    </row>
    <row r="2862" spans="1:2" x14ac:dyDescent="0.25">
      <c r="A2862" s="73"/>
      <c r="B2862" s="73"/>
    </row>
    <row r="2863" spans="1:2" x14ac:dyDescent="0.25">
      <c r="A2863" s="73"/>
      <c r="B2863" s="73"/>
    </row>
    <row r="2864" spans="1:2" x14ac:dyDescent="0.25">
      <c r="A2864" s="73"/>
      <c r="B2864" s="73"/>
    </row>
    <row r="2865" spans="1:2" x14ac:dyDescent="0.25">
      <c r="A2865" s="73"/>
      <c r="B2865" s="73"/>
    </row>
    <row r="2866" spans="1:2" x14ac:dyDescent="0.25">
      <c r="A2866" s="73"/>
      <c r="B2866" s="73"/>
    </row>
    <row r="2867" spans="1:2" x14ac:dyDescent="0.25">
      <c r="A2867" s="73"/>
      <c r="B2867" s="73"/>
    </row>
    <row r="2868" spans="1:2" x14ac:dyDescent="0.25">
      <c r="A2868" s="73"/>
      <c r="B2868" s="73"/>
    </row>
    <row r="2869" spans="1:2" x14ac:dyDescent="0.25">
      <c r="A2869" s="73"/>
      <c r="B2869" s="73"/>
    </row>
    <row r="2870" spans="1:2" x14ac:dyDescent="0.25">
      <c r="A2870" s="73"/>
      <c r="B2870" s="73"/>
    </row>
    <row r="2871" spans="1:2" x14ac:dyDescent="0.25">
      <c r="A2871" s="73"/>
      <c r="B2871" s="73"/>
    </row>
    <row r="2872" spans="1:2" x14ac:dyDescent="0.25">
      <c r="A2872" s="73"/>
      <c r="B2872" s="73"/>
    </row>
    <row r="2873" spans="1:2" x14ac:dyDescent="0.25">
      <c r="A2873" s="73"/>
      <c r="B2873" s="73"/>
    </row>
    <row r="2874" spans="1:2" x14ac:dyDescent="0.25">
      <c r="A2874" s="73"/>
      <c r="B2874" s="73"/>
    </row>
    <row r="2875" spans="1:2" x14ac:dyDescent="0.25">
      <c r="A2875" s="73"/>
      <c r="B2875" s="73"/>
    </row>
    <row r="2876" spans="1:2" x14ac:dyDescent="0.25">
      <c r="A2876" s="73"/>
      <c r="B2876" s="73"/>
    </row>
    <row r="2877" spans="1:2" x14ac:dyDescent="0.25">
      <c r="A2877" s="73"/>
      <c r="B2877" s="73"/>
    </row>
    <row r="2878" spans="1:2" x14ac:dyDescent="0.25">
      <c r="A2878" s="73"/>
      <c r="B2878" s="73"/>
    </row>
    <row r="2879" spans="1:2" x14ac:dyDescent="0.25">
      <c r="A2879" s="73"/>
      <c r="B2879" s="73"/>
    </row>
    <row r="2880" spans="1:2" x14ac:dyDescent="0.25">
      <c r="A2880" s="73"/>
      <c r="B2880" s="73"/>
    </row>
    <row r="2881" spans="1:2" x14ac:dyDescent="0.25">
      <c r="A2881" s="73"/>
      <c r="B2881" s="73"/>
    </row>
    <row r="2882" spans="1:2" x14ac:dyDescent="0.25">
      <c r="A2882" s="73"/>
      <c r="B2882" s="73"/>
    </row>
    <row r="2883" spans="1:2" x14ac:dyDescent="0.25">
      <c r="A2883" s="73"/>
      <c r="B2883" s="73"/>
    </row>
    <row r="2884" spans="1:2" x14ac:dyDescent="0.25">
      <c r="A2884" s="73"/>
      <c r="B2884" s="73"/>
    </row>
    <row r="2885" spans="1:2" x14ac:dyDescent="0.25">
      <c r="A2885" s="73"/>
      <c r="B2885" s="73"/>
    </row>
    <row r="2886" spans="1:2" x14ac:dyDescent="0.25">
      <c r="A2886" s="73"/>
      <c r="B2886" s="73"/>
    </row>
    <row r="2887" spans="1:2" x14ac:dyDescent="0.25">
      <c r="A2887" s="73"/>
      <c r="B2887" s="73"/>
    </row>
    <row r="2888" spans="1:2" x14ac:dyDescent="0.25">
      <c r="A2888" s="73"/>
      <c r="B2888" s="73"/>
    </row>
    <row r="2889" spans="1:2" x14ac:dyDescent="0.25">
      <c r="A2889" s="73"/>
      <c r="B2889" s="73"/>
    </row>
    <row r="2890" spans="1:2" x14ac:dyDescent="0.25">
      <c r="A2890" s="73"/>
      <c r="B2890" s="73"/>
    </row>
    <row r="2891" spans="1:2" x14ac:dyDescent="0.25">
      <c r="A2891" s="73"/>
      <c r="B2891" s="73"/>
    </row>
    <row r="2892" spans="1:2" x14ac:dyDescent="0.25">
      <c r="A2892" s="73"/>
      <c r="B2892" s="73"/>
    </row>
    <row r="2893" spans="1:2" x14ac:dyDescent="0.25">
      <c r="A2893" s="73"/>
      <c r="B2893" s="73"/>
    </row>
    <row r="2894" spans="1:2" x14ac:dyDescent="0.25">
      <c r="A2894" s="73"/>
      <c r="B2894" s="73"/>
    </row>
    <row r="2895" spans="1:2" x14ac:dyDescent="0.25">
      <c r="A2895" s="73"/>
      <c r="B2895" s="73"/>
    </row>
    <row r="2896" spans="1:2" x14ac:dyDescent="0.25">
      <c r="A2896" s="73"/>
      <c r="B2896" s="73"/>
    </row>
    <row r="2897" spans="1:2" x14ac:dyDescent="0.25">
      <c r="A2897" s="73"/>
      <c r="B2897" s="73"/>
    </row>
    <row r="2898" spans="1:2" x14ac:dyDescent="0.25">
      <c r="A2898" s="73"/>
      <c r="B2898" s="73"/>
    </row>
    <row r="2899" spans="1:2" x14ac:dyDescent="0.25">
      <c r="A2899" s="73"/>
      <c r="B2899" s="73"/>
    </row>
    <row r="2900" spans="1:2" x14ac:dyDescent="0.25">
      <c r="A2900" s="73"/>
      <c r="B2900" s="73"/>
    </row>
    <row r="2901" spans="1:2" x14ac:dyDescent="0.25">
      <c r="A2901" s="73"/>
      <c r="B2901" s="73"/>
    </row>
    <row r="2902" spans="1:2" x14ac:dyDescent="0.25">
      <c r="A2902" s="73"/>
      <c r="B2902" s="73"/>
    </row>
    <row r="2903" spans="1:2" x14ac:dyDescent="0.25">
      <c r="A2903" s="73"/>
      <c r="B2903" s="73"/>
    </row>
    <row r="2904" spans="1:2" x14ac:dyDescent="0.25">
      <c r="A2904" s="73"/>
      <c r="B2904" s="73"/>
    </row>
    <row r="2905" spans="1:2" x14ac:dyDescent="0.25">
      <c r="A2905" s="73"/>
      <c r="B2905" s="73"/>
    </row>
    <row r="2906" spans="1:2" x14ac:dyDescent="0.25">
      <c r="A2906" s="73"/>
      <c r="B2906" s="73"/>
    </row>
    <row r="2907" spans="1:2" x14ac:dyDescent="0.25">
      <c r="A2907" s="73"/>
      <c r="B2907" s="73"/>
    </row>
    <row r="2908" spans="1:2" x14ac:dyDescent="0.25">
      <c r="A2908" s="73"/>
      <c r="B2908" s="73"/>
    </row>
    <row r="2909" spans="1:2" x14ac:dyDescent="0.25">
      <c r="A2909" s="73"/>
      <c r="B2909" s="73"/>
    </row>
    <row r="2910" spans="1:2" x14ac:dyDescent="0.25">
      <c r="A2910" s="73"/>
      <c r="B2910" s="73"/>
    </row>
    <row r="2911" spans="1:2" x14ac:dyDescent="0.25">
      <c r="A2911" s="73"/>
      <c r="B2911" s="73"/>
    </row>
    <row r="2912" spans="1:2" x14ac:dyDescent="0.25">
      <c r="A2912" s="73"/>
      <c r="B2912" s="73"/>
    </row>
    <row r="2913" spans="1:2" x14ac:dyDescent="0.25">
      <c r="A2913" s="73"/>
      <c r="B2913" s="73"/>
    </row>
    <row r="2914" spans="1:2" x14ac:dyDescent="0.25">
      <c r="A2914" s="73"/>
      <c r="B2914" s="73"/>
    </row>
    <row r="2915" spans="1:2" x14ac:dyDescent="0.25">
      <c r="A2915" s="73"/>
      <c r="B2915" s="73"/>
    </row>
    <row r="2916" spans="1:2" x14ac:dyDescent="0.25">
      <c r="A2916" s="73"/>
      <c r="B2916" s="73"/>
    </row>
    <row r="2917" spans="1:2" x14ac:dyDescent="0.25">
      <c r="A2917" s="73"/>
      <c r="B2917" s="73"/>
    </row>
    <row r="2918" spans="1:2" x14ac:dyDescent="0.25">
      <c r="A2918" s="73"/>
      <c r="B2918" s="73"/>
    </row>
    <row r="2919" spans="1:2" x14ac:dyDescent="0.25">
      <c r="A2919" s="73"/>
      <c r="B2919" s="73"/>
    </row>
    <row r="2920" spans="1:2" x14ac:dyDescent="0.25">
      <c r="A2920" s="73"/>
      <c r="B2920" s="73"/>
    </row>
    <row r="2921" spans="1:2" x14ac:dyDescent="0.25">
      <c r="A2921" s="73"/>
      <c r="B2921" s="73"/>
    </row>
    <row r="2922" spans="1:2" x14ac:dyDescent="0.25">
      <c r="A2922" s="73"/>
      <c r="B2922" s="73"/>
    </row>
    <row r="2923" spans="1:2" x14ac:dyDescent="0.25">
      <c r="A2923" s="73"/>
      <c r="B2923" s="73"/>
    </row>
    <row r="2924" spans="1:2" x14ac:dyDescent="0.25">
      <c r="A2924" s="73"/>
      <c r="B2924" s="73"/>
    </row>
    <row r="2925" spans="1:2" x14ac:dyDescent="0.25">
      <c r="A2925" s="73"/>
      <c r="B2925" s="73"/>
    </row>
    <row r="2926" spans="1:2" x14ac:dyDescent="0.25">
      <c r="A2926" s="73"/>
      <c r="B2926" s="73"/>
    </row>
    <row r="2927" spans="1:2" x14ac:dyDescent="0.25">
      <c r="A2927" s="73"/>
      <c r="B2927" s="73"/>
    </row>
    <row r="2928" spans="1:2" x14ac:dyDescent="0.25">
      <c r="A2928" s="73"/>
      <c r="B2928" s="73"/>
    </row>
    <row r="2929" spans="1:2" x14ac:dyDescent="0.25">
      <c r="A2929" s="73"/>
      <c r="B2929" s="73"/>
    </row>
    <row r="2930" spans="1:2" x14ac:dyDescent="0.25">
      <c r="A2930" s="73"/>
      <c r="B2930" s="73"/>
    </row>
    <row r="2931" spans="1:2" x14ac:dyDescent="0.25">
      <c r="A2931" s="73"/>
      <c r="B2931" s="73"/>
    </row>
    <row r="2932" spans="1:2" x14ac:dyDescent="0.25">
      <c r="A2932" s="73"/>
      <c r="B2932" s="73"/>
    </row>
    <row r="2933" spans="1:2" x14ac:dyDescent="0.25">
      <c r="A2933" s="73"/>
      <c r="B2933" s="73"/>
    </row>
    <row r="2934" spans="1:2" x14ac:dyDescent="0.25">
      <c r="A2934" s="73"/>
      <c r="B2934" s="73"/>
    </row>
    <row r="2935" spans="1:2" x14ac:dyDescent="0.25">
      <c r="A2935" s="73"/>
      <c r="B2935" s="73"/>
    </row>
    <row r="2936" spans="1:2" x14ac:dyDescent="0.25">
      <c r="A2936" s="73"/>
      <c r="B2936" s="73"/>
    </row>
    <row r="2937" spans="1:2" x14ac:dyDescent="0.25">
      <c r="A2937" s="73"/>
      <c r="B2937" s="73"/>
    </row>
    <row r="2938" spans="1:2" x14ac:dyDescent="0.25">
      <c r="A2938" s="73"/>
      <c r="B2938" s="73"/>
    </row>
    <row r="2939" spans="1:2" x14ac:dyDescent="0.25">
      <c r="A2939" s="73"/>
      <c r="B2939" s="73"/>
    </row>
    <row r="2940" spans="1:2" x14ac:dyDescent="0.25">
      <c r="A2940" s="73"/>
      <c r="B2940" s="73"/>
    </row>
    <row r="2941" spans="1:2" x14ac:dyDescent="0.25">
      <c r="A2941" s="73"/>
      <c r="B2941" s="73"/>
    </row>
    <row r="2942" spans="1:2" x14ac:dyDescent="0.25">
      <c r="A2942" s="73"/>
      <c r="B2942" s="73"/>
    </row>
    <row r="2943" spans="1:2" x14ac:dyDescent="0.25">
      <c r="A2943" s="73"/>
      <c r="B2943" s="73"/>
    </row>
    <row r="2944" spans="1:2" x14ac:dyDescent="0.25">
      <c r="A2944" s="73"/>
      <c r="B2944" s="73"/>
    </row>
    <row r="2945" spans="1:2" x14ac:dyDescent="0.25">
      <c r="A2945" s="73"/>
      <c r="B2945" s="73"/>
    </row>
    <row r="2946" spans="1:2" x14ac:dyDescent="0.25">
      <c r="A2946" s="73"/>
      <c r="B2946" s="73"/>
    </row>
    <row r="2947" spans="1:2" x14ac:dyDescent="0.25">
      <c r="A2947" s="73"/>
      <c r="B2947" s="73"/>
    </row>
    <row r="2948" spans="1:2" x14ac:dyDescent="0.25">
      <c r="A2948" s="73"/>
      <c r="B2948" s="73"/>
    </row>
    <row r="2949" spans="1:2" x14ac:dyDescent="0.25">
      <c r="A2949" s="73"/>
      <c r="B2949" s="73"/>
    </row>
    <row r="2950" spans="1:2" x14ac:dyDescent="0.25">
      <c r="A2950" s="73"/>
      <c r="B2950" s="73"/>
    </row>
    <row r="2951" spans="1:2" x14ac:dyDescent="0.25">
      <c r="A2951" s="73"/>
      <c r="B2951" s="73"/>
    </row>
    <row r="2952" spans="1:2" x14ac:dyDescent="0.25">
      <c r="A2952" s="73"/>
      <c r="B2952" s="73"/>
    </row>
    <row r="2953" spans="1:2" x14ac:dyDescent="0.25">
      <c r="A2953" s="73"/>
      <c r="B2953" s="73"/>
    </row>
    <row r="2954" spans="1:2" x14ac:dyDescent="0.25">
      <c r="A2954" s="73"/>
      <c r="B2954" s="73"/>
    </row>
    <row r="2955" spans="1:2" x14ac:dyDescent="0.25">
      <c r="A2955" s="73"/>
      <c r="B2955" s="73"/>
    </row>
    <row r="2956" spans="1:2" x14ac:dyDescent="0.25">
      <c r="A2956" s="73"/>
      <c r="B2956" s="73"/>
    </row>
    <row r="2957" spans="1:2" x14ac:dyDescent="0.25">
      <c r="A2957" s="73"/>
      <c r="B2957" s="73"/>
    </row>
    <row r="2958" spans="1:2" x14ac:dyDescent="0.25">
      <c r="A2958" s="73"/>
      <c r="B2958" s="73"/>
    </row>
    <row r="2959" spans="1:2" x14ac:dyDescent="0.25">
      <c r="A2959" s="73"/>
      <c r="B2959" s="73"/>
    </row>
    <row r="2960" spans="1:2" x14ac:dyDescent="0.25">
      <c r="A2960" s="73"/>
      <c r="B2960" s="73"/>
    </row>
    <row r="2961" spans="1:2" x14ac:dyDescent="0.25">
      <c r="A2961" s="73"/>
      <c r="B2961" s="73"/>
    </row>
    <row r="2962" spans="1:2" x14ac:dyDescent="0.25">
      <c r="A2962" s="73"/>
      <c r="B2962" s="73"/>
    </row>
    <row r="2963" spans="1:2" x14ac:dyDescent="0.25">
      <c r="A2963" s="73"/>
      <c r="B2963" s="73"/>
    </row>
    <row r="2964" spans="1:2" x14ac:dyDescent="0.25">
      <c r="A2964" s="73"/>
      <c r="B2964" s="73"/>
    </row>
    <row r="2965" spans="1:2" x14ac:dyDescent="0.25">
      <c r="A2965" s="73"/>
      <c r="B2965" s="73"/>
    </row>
    <row r="2966" spans="1:2" x14ac:dyDescent="0.25">
      <c r="A2966" s="73"/>
      <c r="B2966" s="73"/>
    </row>
    <row r="2967" spans="1:2" x14ac:dyDescent="0.25">
      <c r="A2967" s="73"/>
      <c r="B2967" s="73"/>
    </row>
    <row r="2968" spans="1:2" x14ac:dyDescent="0.25">
      <c r="A2968" s="73"/>
      <c r="B2968" s="73"/>
    </row>
    <row r="2969" spans="1:2" x14ac:dyDescent="0.25">
      <c r="A2969" s="73"/>
      <c r="B2969" s="73"/>
    </row>
    <row r="2970" spans="1:2" x14ac:dyDescent="0.25">
      <c r="A2970" s="73"/>
      <c r="B2970" s="73"/>
    </row>
    <row r="2971" spans="1:2" x14ac:dyDescent="0.25">
      <c r="A2971" s="73"/>
      <c r="B2971" s="73"/>
    </row>
    <row r="2972" spans="1:2" x14ac:dyDescent="0.25">
      <c r="A2972" s="73"/>
      <c r="B2972" s="73"/>
    </row>
    <row r="2973" spans="1:2" x14ac:dyDescent="0.25">
      <c r="A2973" s="73"/>
      <c r="B2973" s="73"/>
    </row>
    <row r="2974" spans="1:2" x14ac:dyDescent="0.25">
      <c r="A2974" s="73"/>
      <c r="B2974" s="73"/>
    </row>
    <row r="2975" spans="1:2" x14ac:dyDescent="0.25">
      <c r="A2975" s="73"/>
      <c r="B2975" s="73"/>
    </row>
    <row r="2976" spans="1:2" x14ac:dyDescent="0.25">
      <c r="A2976" s="73"/>
      <c r="B2976" s="73"/>
    </row>
    <row r="2977" spans="1:2" x14ac:dyDescent="0.25">
      <c r="A2977" s="73"/>
      <c r="B2977" s="73"/>
    </row>
    <row r="2978" spans="1:2" x14ac:dyDescent="0.25">
      <c r="A2978" s="73"/>
      <c r="B2978" s="73"/>
    </row>
    <row r="2979" spans="1:2" x14ac:dyDescent="0.25">
      <c r="A2979" s="73"/>
      <c r="B2979" s="73"/>
    </row>
    <row r="2980" spans="1:2" x14ac:dyDescent="0.25">
      <c r="A2980" s="73"/>
      <c r="B2980" s="73"/>
    </row>
    <row r="2981" spans="1:2" x14ac:dyDescent="0.25">
      <c r="A2981" s="73"/>
      <c r="B2981" s="73"/>
    </row>
    <row r="2982" spans="1:2" x14ac:dyDescent="0.25">
      <c r="A2982" s="73"/>
      <c r="B2982" s="73"/>
    </row>
    <row r="2983" spans="1:2" x14ac:dyDescent="0.25">
      <c r="A2983" s="73"/>
      <c r="B2983" s="73"/>
    </row>
    <row r="2984" spans="1:2" x14ac:dyDescent="0.25">
      <c r="A2984" s="73"/>
      <c r="B2984" s="73"/>
    </row>
    <row r="2985" spans="1:2" x14ac:dyDescent="0.25">
      <c r="A2985" s="73"/>
      <c r="B2985" s="73"/>
    </row>
    <row r="2986" spans="1:2" x14ac:dyDescent="0.25">
      <c r="A2986" s="73"/>
      <c r="B2986" s="73"/>
    </row>
    <row r="2987" spans="1:2" x14ac:dyDescent="0.25">
      <c r="A2987" s="73"/>
      <c r="B2987" s="73"/>
    </row>
    <row r="2988" spans="1:2" x14ac:dyDescent="0.25">
      <c r="A2988" s="73"/>
      <c r="B2988" s="73"/>
    </row>
    <row r="2989" spans="1:2" x14ac:dyDescent="0.25">
      <c r="A2989" s="73"/>
      <c r="B2989" s="73"/>
    </row>
    <row r="2990" spans="1:2" x14ac:dyDescent="0.25">
      <c r="A2990" s="73"/>
      <c r="B2990" s="73"/>
    </row>
    <row r="2991" spans="1:2" x14ac:dyDescent="0.25">
      <c r="A2991" s="73"/>
      <c r="B2991" s="73"/>
    </row>
    <row r="2992" spans="1:2" x14ac:dyDescent="0.25">
      <c r="A2992" s="73"/>
      <c r="B2992" s="73"/>
    </row>
    <row r="2993" spans="1:2" x14ac:dyDescent="0.25">
      <c r="A2993" s="73"/>
      <c r="B2993" s="73"/>
    </row>
    <row r="2994" spans="1:2" x14ac:dyDescent="0.25">
      <c r="A2994" s="73"/>
      <c r="B2994" s="73"/>
    </row>
    <row r="2995" spans="1:2" x14ac:dyDescent="0.25">
      <c r="A2995" s="73"/>
      <c r="B2995" s="73"/>
    </row>
    <row r="2996" spans="1:2" x14ac:dyDescent="0.25">
      <c r="A2996" s="73"/>
      <c r="B2996" s="73"/>
    </row>
    <row r="2997" spans="1:2" x14ac:dyDescent="0.25">
      <c r="A2997" s="73"/>
      <c r="B2997" s="73"/>
    </row>
    <row r="2998" spans="1:2" x14ac:dyDescent="0.25">
      <c r="A2998" s="73"/>
      <c r="B2998" s="73"/>
    </row>
    <row r="2999" spans="1:2" x14ac:dyDescent="0.25">
      <c r="A2999" s="73"/>
      <c r="B2999" s="73"/>
    </row>
    <row r="3000" spans="1:2" x14ac:dyDescent="0.25">
      <c r="A3000" s="73"/>
      <c r="B3000" s="73"/>
    </row>
    <row r="3001" spans="1:2" x14ac:dyDescent="0.25">
      <c r="A3001" s="73"/>
      <c r="B3001" s="73"/>
    </row>
    <row r="3002" spans="1:2" x14ac:dyDescent="0.25">
      <c r="A3002" s="73"/>
      <c r="B3002" s="73"/>
    </row>
    <row r="3003" spans="1:2" x14ac:dyDescent="0.25">
      <c r="A3003" s="73"/>
      <c r="B3003" s="73"/>
    </row>
    <row r="3004" spans="1:2" x14ac:dyDescent="0.25">
      <c r="A3004" s="73"/>
      <c r="B3004" s="73"/>
    </row>
    <row r="3005" spans="1:2" x14ac:dyDescent="0.25">
      <c r="A3005" s="73"/>
      <c r="B3005" s="73"/>
    </row>
    <row r="3006" spans="1:2" x14ac:dyDescent="0.25">
      <c r="A3006" s="73"/>
      <c r="B3006" s="73"/>
    </row>
    <row r="3007" spans="1:2" x14ac:dyDescent="0.25">
      <c r="A3007" s="73"/>
      <c r="B3007" s="73"/>
    </row>
    <row r="3008" spans="1:2" x14ac:dyDescent="0.25">
      <c r="A3008" s="73"/>
      <c r="B3008" s="73"/>
    </row>
    <row r="3009" spans="1:2" x14ac:dyDescent="0.25">
      <c r="A3009" s="73"/>
      <c r="B3009" s="73"/>
    </row>
    <row r="3010" spans="1:2" x14ac:dyDescent="0.25">
      <c r="A3010" s="73"/>
      <c r="B3010" s="73"/>
    </row>
    <row r="3011" spans="1:2" x14ac:dyDescent="0.25">
      <c r="A3011" s="73"/>
      <c r="B3011" s="73"/>
    </row>
    <row r="3012" spans="1:2" x14ac:dyDescent="0.25">
      <c r="A3012" s="73"/>
      <c r="B3012" s="73"/>
    </row>
    <row r="3013" spans="1:2" x14ac:dyDescent="0.25">
      <c r="A3013" s="73"/>
      <c r="B3013" s="73"/>
    </row>
    <row r="3014" spans="1:2" x14ac:dyDescent="0.25">
      <c r="A3014" s="73"/>
      <c r="B3014" s="73"/>
    </row>
    <row r="3015" spans="1:2" x14ac:dyDescent="0.25">
      <c r="A3015" s="73"/>
      <c r="B3015" s="73"/>
    </row>
    <row r="3016" spans="1:2" x14ac:dyDescent="0.25">
      <c r="A3016" s="73"/>
      <c r="B3016" s="73"/>
    </row>
    <row r="3017" spans="1:2" x14ac:dyDescent="0.25">
      <c r="A3017" s="73"/>
      <c r="B3017" s="73"/>
    </row>
    <row r="3018" spans="1:2" x14ac:dyDescent="0.25">
      <c r="A3018" s="73"/>
      <c r="B3018" s="73"/>
    </row>
    <row r="3019" spans="1:2" x14ac:dyDescent="0.25">
      <c r="A3019" s="73"/>
      <c r="B3019" s="73"/>
    </row>
    <row r="3020" spans="1:2" x14ac:dyDescent="0.25">
      <c r="A3020" s="73"/>
      <c r="B3020" s="73"/>
    </row>
    <row r="3021" spans="1:2" x14ac:dyDescent="0.25">
      <c r="A3021" s="73"/>
      <c r="B3021" s="73"/>
    </row>
    <row r="3022" spans="1:2" x14ac:dyDescent="0.25">
      <c r="A3022" s="73"/>
      <c r="B3022" s="73"/>
    </row>
    <row r="3023" spans="1:2" x14ac:dyDescent="0.25">
      <c r="A3023" s="73"/>
      <c r="B3023" s="73"/>
    </row>
    <row r="3024" spans="1:2" x14ac:dyDescent="0.25">
      <c r="A3024" s="73"/>
      <c r="B3024" s="73"/>
    </row>
    <row r="3025" spans="1:2" x14ac:dyDescent="0.25">
      <c r="A3025" s="73"/>
      <c r="B3025" s="73"/>
    </row>
    <row r="3026" spans="1:2" x14ac:dyDescent="0.25">
      <c r="A3026" s="73"/>
      <c r="B3026" s="73"/>
    </row>
    <row r="3027" spans="1:2" x14ac:dyDescent="0.25">
      <c r="A3027" s="73"/>
      <c r="B3027" s="73"/>
    </row>
    <row r="3028" spans="1:2" x14ac:dyDescent="0.25">
      <c r="A3028" s="73"/>
      <c r="B3028" s="73"/>
    </row>
    <row r="3029" spans="1:2" x14ac:dyDescent="0.25">
      <c r="A3029" s="73"/>
      <c r="B3029" s="73"/>
    </row>
    <row r="3030" spans="1:2" x14ac:dyDescent="0.25">
      <c r="A3030" s="73"/>
      <c r="B3030" s="73"/>
    </row>
    <row r="3031" spans="1:2" x14ac:dyDescent="0.25">
      <c r="A3031" s="73"/>
      <c r="B3031" s="73"/>
    </row>
    <row r="3032" spans="1:2" x14ac:dyDescent="0.25">
      <c r="A3032" s="73"/>
      <c r="B3032" s="73"/>
    </row>
    <row r="3033" spans="1:2" x14ac:dyDescent="0.25">
      <c r="A3033" s="73"/>
      <c r="B3033" s="73"/>
    </row>
    <row r="3034" spans="1:2" x14ac:dyDescent="0.25">
      <c r="A3034" s="73"/>
      <c r="B3034" s="73"/>
    </row>
    <row r="3035" spans="1:2" x14ac:dyDescent="0.25">
      <c r="A3035" s="73"/>
      <c r="B3035" s="73"/>
    </row>
    <row r="3036" spans="1:2" x14ac:dyDescent="0.25">
      <c r="A3036" s="73"/>
      <c r="B3036" s="73"/>
    </row>
    <row r="3037" spans="1:2" x14ac:dyDescent="0.25">
      <c r="A3037" s="73"/>
      <c r="B3037" s="73"/>
    </row>
    <row r="3038" spans="1:2" x14ac:dyDescent="0.25">
      <c r="A3038" s="73"/>
      <c r="B3038" s="73"/>
    </row>
    <row r="3039" spans="1:2" x14ac:dyDescent="0.25">
      <c r="A3039" s="73"/>
      <c r="B3039" s="73"/>
    </row>
    <row r="3040" spans="1:2" x14ac:dyDescent="0.25">
      <c r="A3040" s="73"/>
      <c r="B3040" s="73"/>
    </row>
    <row r="3041" spans="1:2" x14ac:dyDescent="0.25">
      <c r="A3041" s="73"/>
      <c r="B3041" s="73"/>
    </row>
    <row r="3042" spans="1:2" x14ac:dyDescent="0.25">
      <c r="A3042" s="73"/>
      <c r="B3042" s="73"/>
    </row>
    <row r="3043" spans="1:2" x14ac:dyDescent="0.25">
      <c r="A3043" s="73"/>
      <c r="B3043" s="73"/>
    </row>
    <row r="3044" spans="1:2" x14ac:dyDescent="0.25">
      <c r="A3044" s="73"/>
      <c r="B3044" s="73"/>
    </row>
    <row r="3045" spans="1:2" x14ac:dyDescent="0.25">
      <c r="A3045" s="73"/>
      <c r="B3045" s="73"/>
    </row>
    <row r="3046" spans="1:2" x14ac:dyDescent="0.25">
      <c r="A3046" s="73"/>
      <c r="B3046" s="73"/>
    </row>
    <row r="3047" spans="1:2" x14ac:dyDescent="0.25">
      <c r="A3047" s="73"/>
      <c r="B3047" s="73"/>
    </row>
    <row r="3048" spans="1:2" x14ac:dyDescent="0.25">
      <c r="A3048" s="73"/>
      <c r="B3048" s="73"/>
    </row>
    <row r="3049" spans="1:2" x14ac:dyDescent="0.25">
      <c r="A3049" s="73"/>
      <c r="B3049" s="73"/>
    </row>
    <row r="3050" spans="1:2" x14ac:dyDescent="0.25">
      <c r="A3050" s="73"/>
      <c r="B3050" s="73"/>
    </row>
    <row r="3051" spans="1:2" x14ac:dyDescent="0.25">
      <c r="A3051" s="73"/>
      <c r="B3051" s="73"/>
    </row>
    <row r="3052" spans="1:2" x14ac:dyDescent="0.25">
      <c r="A3052" s="73"/>
      <c r="B3052" s="73"/>
    </row>
    <row r="3053" spans="1:2" x14ac:dyDescent="0.25">
      <c r="A3053" s="73"/>
      <c r="B3053" s="73"/>
    </row>
    <row r="3054" spans="1:2" x14ac:dyDescent="0.25">
      <c r="A3054" s="73"/>
      <c r="B3054" s="73"/>
    </row>
    <row r="3055" spans="1:2" x14ac:dyDescent="0.25">
      <c r="A3055" s="73"/>
      <c r="B3055" s="73"/>
    </row>
    <row r="3056" spans="1:2" x14ac:dyDescent="0.25">
      <c r="A3056" s="73"/>
      <c r="B3056" s="73"/>
    </row>
    <row r="3057" spans="1:2" x14ac:dyDescent="0.25">
      <c r="A3057" s="73"/>
      <c r="B3057" s="73"/>
    </row>
    <row r="3058" spans="1:2" x14ac:dyDescent="0.25">
      <c r="A3058" s="73"/>
      <c r="B3058" s="73"/>
    </row>
    <row r="3059" spans="1:2" x14ac:dyDescent="0.25">
      <c r="A3059" s="73"/>
      <c r="B3059" s="73"/>
    </row>
    <row r="3060" spans="1:2" x14ac:dyDescent="0.25">
      <c r="A3060" s="73"/>
      <c r="B3060" s="73"/>
    </row>
    <row r="3061" spans="1:2" x14ac:dyDescent="0.25">
      <c r="A3061" s="73"/>
      <c r="B3061" s="73"/>
    </row>
    <row r="3062" spans="1:2" x14ac:dyDescent="0.25">
      <c r="A3062" s="73"/>
      <c r="B3062" s="73"/>
    </row>
    <row r="3063" spans="1:2" x14ac:dyDescent="0.25">
      <c r="A3063" s="73"/>
      <c r="B3063" s="73"/>
    </row>
    <row r="3064" spans="1:2" x14ac:dyDescent="0.25">
      <c r="A3064" s="73"/>
      <c r="B3064" s="73"/>
    </row>
    <row r="3065" spans="1:2" x14ac:dyDescent="0.25">
      <c r="A3065" s="73"/>
      <c r="B3065" s="73"/>
    </row>
    <row r="3066" spans="1:2" x14ac:dyDescent="0.25">
      <c r="A3066" s="73"/>
      <c r="B3066" s="73"/>
    </row>
    <row r="3067" spans="1:2" x14ac:dyDescent="0.25">
      <c r="A3067" s="73"/>
      <c r="B3067" s="73"/>
    </row>
    <row r="3068" spans="1:2" x14ac:dyDescent="0.25">
      <c r="A3068" s="73"/>
      <c r="B3068" s="73"/>
    </row>
    <row r="3069" spans="1:2" x14ac:dyDescent="0.25">
      <c r="A3069" s="73"/>
      <c r="B3069" s="73"/>
    </row>
    <row r="3070" spans="1:2" x14ac:dyDescent="0.25">
      <c r="A3070" s="73"/>
      <c r="B3070" s="73"/>
    </row>
    <row r="3071" spans="1:2" x14ac:dyDescent="0.25">
      <c r="A3071" s="73"/>
      <c r="B3071" s="73"/>
    </row>
    <row r="3072" spans="1:2" x14ac:dyDescent="0.25">
      <c r="A3072" s="73"/>
      <c r="B3072" s="73"/>
    </row>
    <row r="3073" spans="1:2" x14ac:dyDescent="0.25">
      <c r="A3073" s="73"/>
      <c r="B3073" s="73"/>
    </row>
    <row r="3074" spans="1:2" x14ac:dyDescent="0.25">
      <c r="A3074" s="73"/>
      <c r="B3074" s="73"/>
    </row>
    <row r="3075" spans="1:2" x14ac:dyDescent="0.25">
      <c r="A3075" s="73"/>
      <c r="B3075" s="73"/>
    </row>
    <row r="3076" spans="1:2" x14ac:dyDescent="0.25">
      <c r="A3076" s="73"/>
      <c r="B3076" s="73"/>
    </row>
    <row r="3077" spans="1:2" x14ac:dyDescent="0.25">
      <c r="A3077" s="73"/>
      <c r="B3077" s="73"/>
    </row>
    <row r="3078" spans="1:2" x14ac:dyDescent="0.25">
      <c r="A3078" s="73"/>
      <c r="B3078" s="73"/>
    </row>
    <row r="3079" spans="1:2" x14ac:dyDescent="0.25">
      <c r="A3079" s="73"/>
      <c r="B3079" s="73"/>
    </row>
    <row r="3080" spans="1:2" x14ac:dyDescent="0.25">
      <c r="A3080" s="73"/>
      <c r="B3080" s="73"/>
    </row>
    <row r="3081" spans="1:2" x14ac:dyDescent="0.25">
      <c r="A3081" s="73"/>
      <c r="B3081" s="73"/>
    </row>
    <row r="3082" spans="1:2" x14ac:dyDescent="0.25">
      <c r="A3082" s="73"/>
      <c r="B3082" s="73"/>
    </row>
    <row r="3083" spans="1:2" x14ac:dyDescent="0.25">
      <c r="A3083" s="73"/>
      <c r="B3083" s="73"/>
    </row>
    <row r="3084" spans="1:2" x14ac:dyDescent="0.25">
      <c r="A3084" s="73"/>
      <c r="B3084" s="73"/>
    </row>
    <row r="3085" spans="1:2" x14ac:dyDescent="0.25">
      <c r="A3085" s="73"/>
      <c r="B3085" s="73"/>
    </row>
    <row r="3086" spans="1:2" x14ac:dyDescent="0.25">
      <c r="A3086" s="73"/>
      <c r="B3086" s="73"/>
    </row>
    <row r="3087" spans="1:2" x14ac:dyDescent="0.25">
      <c r="A3087" s="73"/>
      <c r="B3087" s="73"/>
    </row>
    <row r="3088" spans="1:2" x14ac:dyDescent="0.25">
      <c r="A3088" s="73"/>
      <c r="B3088" s="73"/>
    </row>
    <row r="3089" spans="1:2" x14ac:dyDescent="0.25">
      <c r="A3089" s="73"/>
      <c r="B3089" s="73"/>
    </row>
    <row r="3090" spans="1:2" x14ac:dyDescent="0.25">
      <c r="A3090" s="73"/>
      <c r="B3090" s="73"/>
    </row>
    <row r="3091" spans="1:2" x14ac:dyDescent="0.25">
      <c r="A3091" s="73"/>
      <c r="B3091" s="73"/>
    </row>
    <row r="3092" spans="1:2" x14ac:dyDescent="0.25">
      <c r="A3092" s="73"/>
      <c r="B3092" s="73"/>
    </row>
    <row r="3093" spans="1:2" x14ac:dyDescent="0.25">
      <c r="A3093" s="73"/>
      <c r="B3093" s="73"/>
    </row>
    <row r="3094" spans="1:2" x14ac:dyDescent="0.25">
      <c r="A3094" s="73"/>
      <c r="B3094" s="73"/>
    </row>
    <row r="3095" spans="1:2" x14ac:dyDescent="0.25">
      <c r="A3095" s="73"/>
      <c r="B3095" s="73"/>
    </row>
    <row r="3096" spans="1:2" x14ac:dyDescent="0.25">
      <c r="A3096" s="73"/>
      <c r="B3096" s="73"/>
    </row>
    <row r="3097" spans="1:2" x14ac:dyDescent="0.25">
      <c r="A3097" s="73"/>
      <c r="B3097" s="73"/>
    </row>
    <row r="3098" spans="1:2" x14ac:dyDescent="0.25">
      <c r="A3098" s="73"/>
      <c r="B3098" s="73"/>
    </row>
    <row r="3099" spans="1:2" x14ac:dyDescent="0.25">
      <c r="A3099" s="73"/>
      <c r="B3099" s="73"/>
    </row>
    <row r="3100" spans="1:2" x14ac:dyDescent="0.25">
      <c r="A3100" s="73"/>
      <c r="B3100" s="73"/>
    </row>
    <row r="3101" spans="1:2" x14ac:dyDescent="0.25">
      <c r="A3101" s="73"/>
      <c r="B3101" s="73"/>
    </row>
    <row r="3102" spans="1:2" x14ac:dyDescent="0.25">
      <c r="A3102" s="73"/>
      <c r="B3102" s="73"/>
    </row>
    <row r="3103" spans="1:2" x14ac:dyDescent="0.25">
      <c r="A3103" s="73"/>
      <c r="B3103" s="73"/>
    </row>
    <row r="3104" spans="1:2" x14ac:dyDescent="0.25">
      <c r="A3104" s="73"/>
      <c r="B3104" s="73"/>
    </row>
    <row r="3105" spans="1:2" x14ac:dyDescent="0.25">
      <c r="A3105" s="73"/>
      <c r="B3105" s="73"/>
    </row>
    <row r="3106" spans="1:2" x14ac:dyDescent="0.25">
      <c r="A3106" s="73"/>
      <c r="B3106" s="73"/>
    </row>
    <row r="3107" spans="1:2" x14ac:dyDescent="0.25">
      <c r="A3107" s="73"/>
      <c r="B3107" s="73"/>
    </row>
    <row r="3108" spans="1:2" x14ac:dyDescent="0.25">
      <c r="A3108" s="73"/>
      <c r="B3108" s="73"/>
    </row>
    <row r="3109" spans="1:2" x14ac:dyDescent="0.25">
      <c r="A3109" s="73"/>
      <c r="B3109" s="73"/>
    </row>
    <row r="3110" spans="1:2" x14ac:dyDescent="0.25">
      <c r="A3110" s="73"/>
      <c r="B3110" s="73"/>
    </row>
    <row r="3111" spans="1:2" x14ac:dyDescent="0.25">
      <c r="A3111" s="73"/>
      <c r="B3111" s="73"/>
    </row>
    <row r="3112" spans="1:2" x14ac:dyDescent="0.25">
      <c r="A3112" s="73"/>
      <c r="B3112" s="73"/>
    </row>
    <row r="3113" spans="1:2" x14ac:dyDescent="0.25">
      <c r="A3113" s="73"/>
      <c r="B3113" s="73"/>
    </row>
    <row r="3114" spans="1:2" x14ac:dyDescent="0.25">
      <c r="A3114" s="73"/>
      <c r="B3114" s="73"/>
    </row>
    <row r="3115" spans="1:2" x14ac:dyDescent="0.25">
      <c r="A3115" s="73"/>
      <c r="B3115" s="73"/>
    </row>
    <row r="3116" spans="1:2" x14ac:dyDescent="0.25">
      <c r="A3116" s="73"/>
      <c r="B3116" s="73"/>
    </row>
    <row r="3117" spans="1:2" x14ac:dyDescent="0.25">
      <c r="A3117" s="73"/>
      <c r="B3117" s="73"/>
    </row>
    <row r="3118" spans="1:2" x14ac:dyDescent="0.25">
      <c r="A3118" s="73"/>
      <c r="B3118" s="73"/>
    </row>
    <row r="3119" spans="1:2" x14ac:dyDescent="0.25">
      <c r="A3119" s="73"/>
      <c r="B3119" s="73"/>
    </row>
    <row r="3120" spans="1:2" x14ac:dyDescent="0.25">
      <c r="A3120" s="73"/>
      <c r="B3120" s="73"/>
    </row>
    <row r="3121" spans="1:2" x14ac:dyDescent="0.25">
      <c r="A3121" s="73"/>
      <c r="B3121" s="73"/>
    </row>
    <row r="3122" spans="1:2" x14ac:dyDescent="0.25">
      <c r="A3122" s="73"/>
      <c r="B3122" s="73"/>
    </row>
    <row r="3123" spans="1:2" x14ac:dyDescent="0.25">
      <c r="A3123" s="73"/>
      <c r="B3123" s="73"/>
    </row>
    <row r="3124" spans="1:2" x14ac:dyDescent="0.25">
      <c r="A3124" s="73"/>
      <c r="B3124" s="73"/>
    </row>
    <row r="3125" spans="1:2" x14ac:dyDescent="0.25">
      <c r="A3125" s="73"/>
      <c r="B3125" s="73"/>
    </row>
    <row r="3126" spans="1:2" x14ac:dyDescent="0.25">
      <c r="A3126" s="73"/>
      <c r="B3126" s="73"/>
    </row>
    <row r="3127" spans="1:2" x14ac:dyDescent="0.25">
      <c r="A3127" s="73"/>
      <c r="B3127" s="73"/>
    </row>
    <row r="3128" spans="1:2" x14ac:dyDescent="0.25">
      <c r="A3128" s="73"/>
      <c r="B3128" s="73"/>
    </row>
    <row r="3129" spans="1:2" x14ac:dyDescent="0.25">
      <c r="A3129" s="73"/>
      <c r="B3129" s="73"/>
    </row>
    <row r="3130" spans="1:2" x14ac:dyDescent="0.25">
      <c r="A3130" s="73"/>
      <c r="B3130" s="73"/>
    </row>
    <row r="3131" spans="1:2" x14ac:dyDescent="0.25">
      <c r="A3131" s="73"/>
      <c r="B3131" s="73"/>
    </row>
    <row r="3132" spans="1:2" x14ac:dyDescent="0.25">
      <c r="A3132" s="73"/>
      <c r="B3132" s="73"/>
    </row>
    <row r="3133" spans="1:2" x14ac:dyDescent="0.25">
      <c r="A3133" s="73"/>
      <c r="B3133" s="73"/>
    </row>
    <row r="3134" spans="1:2" x14ac:dyDescent="0.25">
      <c r="A3134" s="73"/>
      <c r="B3134" s="73"/>
    </row>
    <row r="3135" spans="1:2" x14ac:dyDescent="0.25">
      <c r="A3135" s="73"/>
      <c r="B3135" s="73"/>
    </row>
    <row r="3136" spans="1:2" x14ac:dyDescent="0.25">
      <c r="A3136" s="73"/>
      <c r="B3136" s="73"/>
    </row>
    <row r="3137" spans="1:2" x14ac:dyDescent="0.25">
      <c r="A3137" s="73"/>
      <c r="B3137" s="73"/>
    </row>
    <row r="3138" spans="1:2" x14ac:dyDescent="0.25">
      <c r="A3138" s="73"/>
      <c r="B3138" s="73"/>
    </row>
    <row r="3139" spans="1:2" x14ac:dyDescent="0.25">
      <c r="A3139" s="73"/>
      <c r="B3139" s="73"/>
    </row>
    <row r="3140" spans="1:2" x14ac:dyDescent="0.25">
      <c r="A3140" s="73"/>
      <c r="B3140" s="73"/>
    </row>
    <row r="3141" spans="1:2" x14ac:dyDescent="0.25">
      <c r="A3141" s="73"/>
      <c r="B3141" s="73"/>
    </row>
    <row r="3142" spans="1:2" x14ac:dyDescent="0.25">
      <c r="A3142" s="73"/>
      <c r="B3142" s="73"/>
    </row>
    <row r="3143" spans="1:2" x14ac:dyDescent="0.25">
      <c r="A3143" s="73"/>
      <c r="B3143" s="73"/>
    </row>
    <row r="3144" spans="1:2" x14ac:dyDescent="0.25">
      <c r="A3144" s="73"/>
      <c r="B3144" s="73"/>
    </row>
    <row r="3145" spans="1:2" x14ac:dyDescent="0.25">
      <c r="A3145" s="73"/>
      <c r="B3145" s="73"/>
    </row>
    <row r="3146" spans="1:2" x14ac:dyDescent="0.25">
      <c r="A3146" s="73"/>
      <c r="B3146" s="73"/>
    </row>
    <row r="3147" spans="1:2" x14ac:dyDescent="0.25">
      <c r="A3147" s="73"/>
      <c r="B3147" s="73"/>
    </row>
    <row r="3148" spans="1:2" x14ac:dyDescent="0.25">
      <c r="A3148" s="73"/>
      <c r="B3148" s="73"/>
    </row>
    <row r="3149" spans="1:2" x14ac:dyDescent="0.25">
      <c r="A3149" s="73"/>
      <c r="B3149" s="73"/>
    </row>
    <row r="3150" spans="1:2" x14ac:dyDescent="0.25">
      <c r="A3150" s="73"/>
      <c r="B3150" s="73"/>
    </row>
    <row r="3151" spans="1:2" x14ac:dyDescent="0.25">
      <c r="A3151" s="73"/>
      <c r="B3151" s="73"/>
    </row>
    <row r="3152" spans="1:2" x14ac:dyDescent="0.25">
      <c r="A3152" s="73"/>
      <c r="B3152" s="73"/>
    </row>
    <row r="3153" spans="1:2" x14ac:dyDescent="0.25">
      <c r="A3153" s="73"/>
      <c r="B3153" s="73"/>
    </row>
    <row r="3154" spans="1:2" x14ac:dyDescent="0.25">
      <c r="A3154" s="73"/>
      <c r="B3154" s="73"/>
    </row>
    <row r="3155" spans="1:2" x14ac:dyDescent="0.25">
      <c r="A3155" s="73"/>
      <c r="B3155" s="73"/>
    </row>
    <row r="3156" spans="1:2" x14ac:dyDescent="0.25">
      <c r="A3156" s="73"/>
      <c r="B3156" s="73"/>
    </row>
    <row r="3157" spans="1:2" x14ac:dyDescent="0.25">
      <c r="A3157" s="73"/>
      <c r="B3157" s="73"/>
    </row>
    <row r="3158" spans="1:2" x14ac:dyDescent="0.25">
      <c r="A3158" s="73"/>
      <c r="B3158" s="73"/>
    </row>
    <row r="3159" spans="1:2" x14ac:dyDescent="0.25">
      <c r="A3159" s="73"/>
      <c r="B3159" s="73"/>
    </row>
    <row r="3160" spans="1:2" x14ac:dyDescent="0.25">
      <c r="A3160" s="73"/>
      <c r="B3160" s="73"/>
    </row>
    <row r="3161" spans="1:2" x14ac:dyDescent="0.25">
      <c r="A3161" s="73"/>
      <c r="B3161" s="73"/>
    </row>
    <row r="3162" spans="1:2" x14ac:dyDescent="0.25">
      <c r="A3162" s="73"/>
      <c r="B3162" s="73"/>
    </row>
    <row r="3163" spans="1:2" x14ac:dyDescent="0.25">
      <c r="A3163" s="73"/>
      <c r="B3163" s="73"/>
    </row>
    <row r="3164" spans="1:2" x14ac:dyDescent="0.25">
      <c r="A3164" s="73"/>
      <c r="B3164" s="73"/>
    </row>
    <row r="3165" spans="1:2" x14ac:dyDescent="0.25">
      <c r="A3165" s="73"/>
      <c r="B3165" s="73"/>
    </row>
    <row r="3166" spans="1:2" x14ac:dyDescent="0.25">
      <c r="A3166" s="73"/>
      <c r="B3166" s="73"/>
    </row>
    <row r="3167" spans="1:2" x14ac:dyDescent="0.25">
      <c r="A3167" s="73"/>
      <c r="B3167" s="73"/>
    </row>
    <row r="3168" spans="1:2" x14ac:dyDescent="0.25">
      <c r="A3168" s="73"/>
      <c r="B3168" s="73"/>
    </row>
    <row r="3169" spans="1:2" x14ac:dyDescent="0.25">
      <c r="A3169" s="73"/>
      <c r="B3169" s="73"/>
    </row>
    <row r="3170" spans="1:2" x14ac:dyDescent="0.25">
      <c r="A3170" s="73"/>
      <c r="B3170" s="73"/>
    </row>
    <row r="3171" spans="1:2" x14ac:dyDescent="0.25">
      <c r="A3171" s="73"/>
      <c r="B3171" s="73"/>
    </row>
    <row r="3172" spans="1:2" x14ac:dyDescent="0.25">
      <c r="A3172" s="73"/>
      <c r="B3172" s="73"/>
    </row>
    <row r="3173" spans="1:2" x14ac:dyDescent="0.25">
      <c r="A3173" s="73"/>
      <c r="B3173" s="73"/>
    </row>
    <row r="3174" spans="1:2" x14ac:dyDescent="0.25">
      <c r="A3174" s="73"/>
      <c r="B3174" s="73"/>
    </row>
    <row r="3175" spans="1:2" x14ac:dyDescent="0.25">
      <c r="A3175" s="73"/>
      <c r="B3175" s="73"/>
    </row>
    <row r="3176" spans="1:2" x14ac:dyDescent="0.25">
      <c r="A3176" s="73"/>
      <c r="B3176" s="73"/>
    </row>
    <row r="3177" spans="1:2" x14ac:dyDescent="0.25">
      <c r="A3177" s="73"/>
      <c r="B3177" s="73"/>
    </row>
    <row r="3178" spans="1:2" x14ac:dyDescent="0.25">
      <c r="A3178" s="73"/>
      <c r="B3178" s="73"/>
    </row>
    <row r="3179" spans="1:2" x14ac:dyDescent="0.25">
      <c r="A3179" s="73"/>
      <c r="B3179" s="73"/>
    </row>
    <row r="3180" spans="1:2" x14ac:dyDescent="0.25">
      <c r="A3180" s="73"/>
      <c r="B3180" s="73"/>
    </row>
    <row r="3181" spans="1:2" x14ac:dyDescent="0.25">
      <c r="A3181" s="73"/>
      <c r="B3181" s="73"/>
    </row>
    <row r="3182" spans="1:2" x14ac:dyDescent="0.25">
      <c r="A3182" s="73"/>
      <c r="B3182" s="73"/>
    </row>
    <row r="3183" spans="1:2" x14ac:dyDescent="0.25">
      <c r="A3183" s="73"/>
      <c r="B3183" s="73"/>
    </row>
    <row r="3184" spans="1:2" x14ac:dyDescent="0.25">
      <c r="A3184" s="73"/>
      <c r="B3184" s="73"/>
    </row>
    <row r="3185" spans="1:2" x14ac:dyDescent="0.25">
      <c r="A3185" s="73"/>
      <c r="B3185" s="73"/>
    </row>
    <row r="3186" spans="1:2" x14ac:dyDescent="0.25">
      <c r="A3186" s="73"/>
      <c r="B3186" s="73"/>
    </row>
    <row r="3187" spans="1:2" x14ac:dyDescent="0.25">
      <c r="A3187" s="73"/>
      <c r="B3187" s="73"/>
    </row>
    <row r="3188" spans="1:2" x14ac:dyDescent="0.25">
      <c r="A3188" s="73"/>
      <c r="B3188" s="73"/>
    </row>
    <row r="3189" spans="1:2" x14ac:dyDescent="0.25">
      <c r="A3189" s="73"/>
      <c r="B3189" s="73"/>
    </row>
    <row r="3190" spans="1:2" x14ac:dyDescent="0.25">
      <c r="A3190" s="73"/>
      <c r="B3190" s="73"/>
    </row>
    <row r="3191" spans="1:2" x14ac:dyDescent="0.25">
      <c r="A3191" s="73"/>
      <c r="B3191" s="73"/>
    </row>
    <row r="3192" spans="1:2" x14ac:dyDescent="0.25">
      <c r="A3192" s="73"/>
      <c r="B3192" s="73"/>
    </row>
    <row r="3193" spans="1:2" x14ac:dyDescent="0.25">
      <c r="A3193" s="73"/>
      <c r="B3193" s="73"/>
    </row>
    <row r="3194" spans="1:2" x14ac:dyDescent="0.25">
      <c r="A3194" s="73"/>
      <c r="B3194" s="73"/>
    </row>
    <row r="3195" spans="1:2" x14ac:dyDescent="0.25">
      <c r="A3195" s="73"/>
      <c r="B3195" s="73"/>
    </row>
    <row r="3196" spans="1:2" x14ac:dyDescent="0.25">
      <c r="A3196" s="73"/>
      <c r="B3196" s="73"/>
    </row>
    <row r="3197" spans="1:2" x14ac:dyDescent="0.25">
      <c r="A3197" s="73"/>
      <c r="B3197" s="73"/>
    </row>
    <row r="3198" spans="1:2" x14ac:dyDescent="0.25">
      <c r="A3198" s="73"/>
      <c r="B3198" s="73"/>
    </row>
    <row r="3199" spans="1:2" x14ac:dyDescent="0.25">
      <c r="A3199" s="73"/>
      <c r="B3199" s="73"/>
    </row>
    <row r="3200" spans="1:2" x14ac:dyDescent="0.25">
      <c r="A3200" s="73"/>
      <c r="B3200" s="73"/>
    </row>
    <row r="3201" spans="1:2" x14ac:dyDescent="0.25">
      <c r="A3201" s="73"/>
      <c r="B3201" s="73"/>
    </row>
    <row r="3202" spans="1:2" x14ac:dyDescent="0.25">
      <c r="A3202" s="73"/>
      <c r="B3202" s="73"/>
    </row>
    <row r="3203" spans="1:2" x14ac:dyDescent="0.25">
      <c r="A3203" s="73"/>
      <c r="B3203" s="73"/>
    </row>
    <row r="3204" spans="1:2" x14ac:dyDescent="0.25">
      <c r="A3204" s="73"/>
      <c r="B3204" s="73"/>
    </row>
    <row r="3205" spans="1:2" x14ac:dyDescent="0.25">
      <c r="A3205" s="73"/>
      <c r="B3205" s="73"/>
    </row>
    <row r="3206" spans="1:2" x14ac:dyDescent="0.25">
      <c r="A3206" s="73"/>
      <c r="B3206" s="73"/>
    </row>
    <row r="3207" spans="1:2" x14ac:dyDescent="0.25">
      <c r="A3207" s="73"/>
      <c r="B3207" s="73"/>
    </row>
    <row r="3208" spans="1:2" x14ac:dyDescent="0.25">
      <c r="A3208" s="73"/>
      <c r="B3208" s="73"/>
    </row>
    <row r="3209" spans="1:2" x14ac:dyDescent="0.25">
      <c r="A3209" s="73"/>
      <c r="B3209" s="73"/>
    </row>
    <row r="3210" spans="1:2" x14ac:dyDescent="0.25">
      <c r="A3210" s="73"/>
      <c r="B3210" s="73"/>
    </row>
    <row r="3211" spans="1:2" x14ac:dyDescent="0.25">
      <c r="A3211" s="73"/>
      <c r="B3211" s="73"/>
    </row>
    <row r="3212" spans="1:2" x14ac:dyDescent="0.25">
      <c r="A3212" s="73"/>
      <c r="B3212" s="73"/>
    </row>
    <row r="3213" spans="1:2" x14ac:dyDescent="0.25">
      <c r="A3213" s="73"/>
      <c r="B3213" s="73"/>
    </row>
    <row r="3214" spans="1:2" x14ac:dyDescent="0.25">
      <c r="A3214" s="73"/>
      <c r="B3214" s="73"/>
    </row>
    <row r="3215" spans="1:2" x14ac:dyDescent="0.25">
      <c r="A3215" s="73"/>
      <c r="B3215" s="73"/>
    </row>
    <row r="3216" spans="1:2" x14ac:dyDescent="0.25">
      <c r="A3216" s="73"/>
      <c r="B3216" s="73"/>
    </row>
    <row r="3217" spans="1:2" x14ac:dyDescent="0.25">
      <c r="A3217" s="73"/>
      <c r="B3217" s="73"/>
    </row>
    <row r="3218" spans="1:2" x14ac:dyDescent="0.25">
      <c r="A3218" s="73"/>
      <c r="B3218" s="73"/>
    </row>
    <row r="3219" spans="1:2" x14ac:dyDescent="0.25">
      <c r="A3219" s="73"/>
      <c r="B3219" s="73"/>
    </row>
    <row r="3220" spans="1:2" x14ac:dyDescent="0.25">
      <c r="A3220" s="73"/>
      <c r="B3220" s="73"/>
    </row>
    <row r="3221" spans="1:2" x14ac:dyDescent="0.25">
      <c r="A3221" s="73"/>
      <c r="B3221" s="73"/>
    </row>
    <row r="3222" spans="1:2" x14ac:dyDescent="0.25">
      <c r="A3222" s="73"/>
      <c r="B3222" s="73"/>
    </row>
    <row r="3223" spans="1:2" x14ac:dyDescent="0.25">
      <c r="A3223" s="73"/>
      <c r="B3223" s="73"/>
    </row>
    <row r="3224" spans="1:2" x14ac:dyDescent="0.25">
      <c r="A3224" s="73"/>
      <c r="B3224" s="73"/>
    </row>
    <row r="3225" spans="1:2" x14ac:dyDescent="0.25">
      <c r="A3225" s="73"/>
      <c r="B3225" s="73"/>
    </row>
    <row r="3226" spans="1:2" x14ac:dyDescent="0.25">
      <c r="A3226" s="73"/>
      <c r="B3226" s="73"/>
    </row>
    <row r="3227" spans="1:2" x14ac:dyDescent="0.25">
      <c r="A3227" s="73"/>
      <c r="B3227" s="73"/>
    </row>
    <row r="3228" spans="1:2" x14ac:dyDescent="0.25">
      <c r="A3228" s="73"/>
      <c r="B3228" s="73"/>
    </row>
    <row r="3229" spans="1:2" x14ac:dyDescent="0.25">
      <c r="A3229" s="73"/>
      <c r="B3229" s="73"/>
    </row>
    <row r="3230" spans="1:2" x14ac:dyDescent="0.25">
      <c r="A3230" s="73"/>
      <c r="B3230" s="73"/>
    </row>
    <row r="3231" spans="1:2" x14ac:dyDescent="0.25">
      <c r="A3231" s="73"/>
      <c r="B3231" s="73"/>
    </row>
    <row r="3232" spans="1:2" x14ac:dyDescent="0.25">
      <c r="A3232" s="73"/>
      <c r="B3232" s="73"/>
    </row>
    <row r="3233" spans="1:2" x14ac:dyDescent="0.25">
      <c r="A3233" s="73"/>
      <c r="B3233" s="73"/>
    </row>
    <row r="3234" spans="1:2" x14ac:dyDescent="0.25">
      <c r="A3234" s="73"/>
      <c r="B3234" s="73"/>
    </row>
    <row r="3235" spans="1:2" x14ac:dyDescent="0.25">
      <c r="A3235" s="73"/>
      <c r="B3235" s="73"/>
    </row>
    <row r="3236" spans="1:2" x14ac:dyDescent="0.25">
      <c r="A3236" s="73"/>
      <c r="B3236" s="73"/>
    </row>
    <row r="3237" spans="1:2" x14ac:dyDescent="0.25">
      <c r="A3237" s="73"/>
      <c r="B3237" s="73"/>
    </row>
    <row r="3238" spans="1:2" x14ac:dyDescent="0.25">
      <c r="A3238" s="73"/>
      <c r="B3238" s="73"/>
    </row>
    <row r="3239" spans="1:2" x14ac:dyDescent="0.25">
      <c r="A3239" s="73"/>
      <c r="B3239" s="73"/>
    </row>
    <row r="3240" spans="1:2" x14ac:dyDescent="0.25">
      <c r="A3240" s="73"/>
      <c r="B3240" s="73"/>
    </row>
    <row r="3241" spans="1:2" x14ac:dyDescent="0.25">
      <c r="A3241" s="73"/>
      <c r="B3241" s="73"/>
    </row>
    <row r="3242" spans="1:2" x14ac:dyDescent="0.25">
      <c r="A3242" s="73"/>
      <c r="B3242" s="73"/>
    </row>
    <row r="3243" spans="1:2" x14ac:dyDescent="0.25">
      <c r="A3243" s="73"/>
      <c r="B3243" s="73"/>
    </row>
    <row r="3244" spans="1:2" x14ac:dyDescent="0.25">
      <c r="A3244" s="73"/>
      <c r="B3244" s="73"/>
    </row>
    <row r="3245" spans="1:2" x14ac:dyDescent="0.25">
      <c r="A3245" s="73"/>
      <c r="B3245" s="73"/>
    </row>
    <row r="3246" spans="1:2" x14ac:dyDescent="0.25">
      <c r="A3246" s="73"/>
      <c r="B3246" s="73"/>
    </row>
    <row r="3247" spans="1:2" x14ac:dyDescent="0.25">
      <c r="A3247" s="73"/>
      <c r="B3247" s="73"/>
    </row>
    <row r="3248" spans="1:2" x14ac:dyDescent="0.25">
      <c r="A3248" s="73"/>
      <c r="B3248" s="73"/>
    </row>
    <row r="3249" spans="1:2" x14ac:dyDescent="0.25">
      <c r="A3249" s="73"/>
      <c r="B3249" s="73"/>
    </row>
    <row r="3250" spans="1:2" x14ac:dyDescent="0.25">
      <c r="A3250" s="73"/>
      <c r="B3250" s="73"/>
    </row>
    <row r="3251" spans="1:2" x14ac:dyDescent="0.25">
      <c r="A3251" s="73"/>
      <c r="B3251" s="73"/>
    </row>
    <row r="3252" spans="1:2" x14ac:dyDescent="0.25">
      <c r="A3252" s="73"/>
      <c r="B3252" s="73"/>
    </row>
    <row r="3253" spans="1:2" x14ac:dyDescent="0.25">
      <c r="A3253" s="73"/>
      <c r="B3253" s="73"/>
    </row>
    <row r="3254" spans="1:2" x14ac:dyDescent="0.25">
      <c r="A3254" s="73"/>
      <c r="B3254" s="73"/>
    </row>
    <row r="3255" spans="1:2" x14ac:dyDescent="0.25">
      <c r="A3255" s="73"/>
      <c r="B3255" s="73"/>
    </row>
    <row r="3256" spans="1:2" x14ac:dyDescent="0.25">
      <c r="A3256" s="73"/>
      <c r="B3256" s="73"/>
    </row>
    <row r="3257" spans="1:2" x14ac:dyDescent="0.25">
      <c r="A3257" s="73"/>
      <c r="B3257" s="73"/>
    </row>
    <row r="3258" spans="1:2" x14ac:dyDescent="0.25">
      <c r="A3258" s="73"/>
      <c r="B3258" s="73"/>
    </row>
    <row r="3259" spans="1:2" x14ac:dyDescent="0.25">
      <c r="A3259" s="73"/>
      <c r="B3259" s="73"/>
    </row>
    <row r="3260" spans="1:2" x14ac:dyDescent="0.25">
      <c r="A3260" s="73"/>
      <c r="B3260" s="73"/>
    </row>
    <row r="3261" spans="1:2" x14ac:dyDescent="0.25">
      <c r="A3261" s="73"/>
      <c r="B3261" s="73"/>
    </row>
    <row r="3262" spans="1:2" x14ac:dyDescent="0.25">
      <c r="A3262" s="73"/>
      <c r="B3262" s="73"/>
    </row>
    <row r="3263" spans="1:2" x14ac:dyDescent="0.25">
      <c r="A3263" s="73"/>
      <c r="B3263" s="73"/>
    </row>
    <row r="3264" spans="1:2" x14ac:dyDescent="0.25">
      <c r="A3264" s="73"/>
      <c r="B3264" s="73"/>
    </row>
    <row r="3265" spans="1:2" x14ac:dyDescent="0.25">
      <c r="A3265" s="73"/>
      <c r="B3265" s="73"/>
    </row>
    <row r="3266" spans="1:2" x14ac:dyDescent="0.25">
      <c r="A3266" s="73"/>
      <c r="B3266" s="73"/>
    </row>
    <row r="3267" spans="1:2" x14ac:dyDescent="0.25">
      <c r="A3267" s="73"/>
      <c r="B3267" s="73"/>
    </row>
    <row r="3268" spans="1:2" x14ac:dyDescent="0.25">
      <c r="A3268" s="73"/>
      <c r="B3268" s="73"/>
    </row>
    <row r="3269" spans="1:2" x14ac:dyDescent="0.25">
      <c r="A3269" s="73"/>
      <c r="B3269" s="73"/>
    </row>
    <row r="3270" spans="1:2" x14ac:dyDescent="0.25">
      <c r="A3270" s="73"/>
      <c r="B3270" s="73"/>
    </row>
    <row r="3271" spans="1:2" x14ac:dyDescent="0.25">
      <c r="A3271" s="73"/>
      <c r="B3271" s="73"/>
    </row>
    <row r="3272" spans="1:2" x14ac:dyDescent="0.25">
      <c r="A3272" s="73"/>
      <c r="B3272" s="73"/>
    </row>
    <row r="3273" spans="1:2" x14ac:dyDescent="0.25">
      <c r="A3273" s="73"/>
      <c r="B3273" s="73"/>
    </row>
    <row r="3274" spans="1:2" x14ac:dyDescent="0.25">
      <c r="A3274" s="73"/>
      <c r="B3274" s="73"/>
    </row>
    <row r="3275" spans="1:2" x14ac:dyDescent="0.25">
      <c r="A3275" s="73"/>
      <c r="B3275" s="73"/>
    </row>
    <row r="3276" spans="1:2" x14ac:dyDescent="0.25">
      <c r="A3276" s="73"/>
      <c r="B3276" s="73"/>
    </row>
    <row r="3277" spans="1:2" x14ac:dyDescent="0.25">
      <c r="A3277" s="73"/>
      <c r="B3277" s="73"/>
    </row>
    <row r="3278" spans="1:2" x14ac:dyDescent="0.25">
      <c r="A3278" s="73"/>
      <c r="B3278" s="73"/>
    </row>
    <row r="3279" spans="1:2" x14ac:dyDescent="0.25">
      <c r="A3279" s="73"/>
      <c r="B3279" s="73"/>
    </row>
    <row r="3280" spans="1:2" x14ac:dyDescent="0.25">
      <c r="A3280" s="73"/>
      <c r="B3280" s="73"/>
    </row>
    <row r="3281" spans="1:2" x14ac:dyDescent="0.25">
      <c r="A3281" s="73"/>
      <c r="B3281" s="73"/>
    </row>
    <row r="3282" spans="1:2" x14ac:dyDescent="0.25">
      <c r="A3282" s="73"/>
      <c r="B3282" s="73"/>
    </row>
    <row r="3283" spans="1:2" x14ac:dyDescent="0.25">
      <c r="A3283" s="73"/>
      <c r="B3283" s="73"/>
    </row>
    <row r="3284" spans="1:2" x14ac:dyDescent="0.25">
      <c r="A3284" s="73"/>
      <c r="B3284" s="73"/>
    </row>
    <row r="3285" spans="1:2" x14ac:dyDescent="0.25">
      <c r="A3285" s="73"/>
      <c r="B3285" s="73"/>
    </row>
    <row r="3286" spans="1:2" x14ac:dyDescent="0.25">
      <c r="A3286" s="73"/>
      <c r="B3286" s="73"/>
    </row>
    <row r="3287" spans="1:2" x14ac:dyDescent="0.25">
      <c r="A3287" s="73"/>
      <c r="B3287" s="73"/>
    </row>
    <row r="3288" spans="1:2" x14ac:dyDescent="0.25">
      <c r="A3288" s="73"/>
      <c r="B3288" s="73"/>
    </row>
    <row r="3289" spans="1:2" x14ac:dyDescent="0.25">
      <c r="A3289" s="73"/>
      <c r="B3289" s="73"/>
    </row>
    <row r="3290" spans="1:2" x14ac:dyDescent="0.25">
      <c r="A3290" s="73"/>
      <c r="B3290" s="73"/>
    </row>
    <row r="3291" spans="1:2" x14ac:dyDescent="0.25">
      <c r="A3291" s="73"/>
      <c r="B3291" s="73"/>
    </row>
    <row r="3292" spans="1:2" x14ac:dyDescent="0.25">
      <c r="A3292" s="73"/>
      <c r="B3292" s="73"/>
    </row>
    <row r="3293" spans="1:2" x14ac:dyDescent="0.25">
      <c r="A3293" s="73"/>
      <c r="B3293" s="73"/>
    </row>
    <row r="3294" spans="1:2" x14ac:dyDescent="0.25">
      <c r="A3294" s="73"/>
      <c r="B3294" s="73"/>
    </row>
    <row r="3295" spans="1:2" x14ac:dyDescent="0.25">
      <c r="A3295" s="73"/>
      <c r="B3295" s="73"/>
    </row>
    <row r="3296" spans="1:2" x14ac:dyDescent="0.25">
      <c r="A3296" s="73"/>
      <c r="B3296" s="73"/>
    </row>
    <row r="3297" spans="1:2" x14ac:dyDescent="0.25">
      <c r="A3297" s="73"/>
      <c r="B3297" s="73"/>
    </row>
    <row r="3298" spans="1:2" x14ac:dyDescent="0.25">
      <c r="A3298" s="73"/>
      <c r="B3298" s="73"/>
    </row>
    <row r="3299" spans="1:2" x14ac:dyDescent="0.25">
      <c r="A3299" s="73"/>
      <c r="B3299" s="73"/>
    </row>
    <row r="3300" spans="1:2" x14ac:dyDescent="0.25">
      <c r="A3300" s="73"/>
      <c r="B3300" s="73"/>
    </row>
    <row r="3301" spans="1:2" x14ac:dyDescent="0.25">
      <c r="A3301" s="73"/>
      <c r="B3301" s="73"/>
    </row>
    <row r="3302" spans="1:2" x14ac:dyDescent="0.25">
      <c r="A3302" s="73"/>
      <c r="B3302" s="73"/>
    </row>
    <row r="3303" spans="1:2" x14ac:dyDescent="0.25">
      <c r="A3303" s="73"/>
      <c r="B3303" s="73"/>
    </row>
    <row r="3304" spans="1:2" x14ac:dyDescent="0.25">
      <c r="A3304" s="73"/>
      <c r="B3304" s="73"/>
    </row>
    <row r="3305" spans="1:2" x14ac:dyDescent="0.25">
      <c r="A3305" s="73"/>
      <c r="B3305" s="73"/>
    </row>
    <row r="3306" spans="1:2" x14ac:dyDescent="0.25">
      <c r="A3306" s="73"/>
      <c r="B3306" s="73"/>
    </row>
    <row r="3307" spans="1:2" x14ac:dyDescent="0.25">
      <c r="A3307" s="73"/>
      <c r="B3307" s="73"/>
    </row>
    <row r="3308" spans="1:2" x14ac:dyDescent="0.25">
      <c r="A3308" s="73"/>
      <c r="B3308" s="73"/>
    </row>
    <row r="3309" spans="1:2" x14ac:dyDescent="0.25">
      <c r="A3309" s="73"/>
      <c r="B3309" s="73"/>
    </row>
    <row r="3310" spans="1:2" x14ac:dyDescent="0.25">
      <c r="A3310" s="73"/>
      <c r="B3310" s="73"/>
    </row>
    <row r="3311" spans="1:2" x14ac:dyDescent="0.25">
      <c r="A3311" s="73"/>
      <c r="B3311" s="73"/>
    </row>
    <row r="3312" spans="1:2" x14ac:dyDescent="0.25">
      <c r="A3312" s="73"/>
      <c r="B3312" s="73"/>
    </row>
    <row r="3313" spans="1:2" x14ac:dyDescent="0.25">
      <c r="A3313" s="73"/>
      <c r="B3313" s="73"/>
    </row>
    <row r="3314" spans="1:2" x14ac:dyDescent="0.25">
      <c r="A3314" s="73"/>
      <c r="B3314" s="73"/>
    </row>
    <row r="3315" spans="1:2" x14ac:dyDescent="0.25">
      <c r="A3315" s="73"/>
      <c r="B3315" s="73"/>
    </row>
    <row r="3316" spans="1:2" x14ac:dyDescent="0.25">
      <c r="A3316" s="73"/>
      <c r="B3316" s="73"/>
    </row>
    <row r="3317" spans="1:2" x14ac:dyDescent="0.25">
      <c r="A3317" s="73"/>
      <c r="B3317" s="73"/>
    </row>
    <row r="3318" spans="1:2" x14ac:dyDescent="0.25">
      <c r="A3318" s="73"/>
      <c r="B3318" s="73"/>
    </row>
    <row r="3319" spans="1:2" x14ac:dyDescent="0.25">
      <c r="A3319" s="73"/>
      <c r="B3319" s="73"/>
    </row>
    <row r="3320" spans="1:2" x14ac:dyDescent="0.25">
      <c r="A3320" s="73"/>
      <c r="B3320" s="73"/>
    </row>
    <row r="3321" spans="1:2" x14ac:dyDescent="0.25">
      <c r="A3321" s="73"/>
      <c r="B3321" s="73"/>
    </row>
    <row r="3322" spans="1:2" x14ac:dyDescent="0.25">
      <c r="A3322" s="73"/>
      <c r="B3322" s="73"/>
    </row>
    <row r="3323" spans="1:2" x14ac:dyDescent="0.25">
      <c r="A3323" s="73"/>
      <c r="B3323" s="73"/>
    </row>
    <row r="3324" spans="1:2" x14ac:dyDescent="0.25">
      <c r="A3324" s="73"/>
      <c r="B3324" s="73"/>
    </row>
    <row r="3325" spans="1:2" x14ac:dyDescent="0.25">
      <c r="A3325" s="73"/>
      <c r="B3325" s="73"/>
    </row>
    <row r="3326" spans="1:2" x14ac:dyDescent="0.25">
      <c r="A3326" s="73"/>
      <c r="B3326" s="73"/>
    </row>
    <row r="3327" spans="1:2" x14ac:dyDescent="0.25">
      <c r="A3327" s="73"/>
      <c r="B3327" s="73"/>
    </row>
    <row r="3328" spans="1:2" x14ac:dyDescent="0.25">
      <c r="A3328" s="73"/>
      <c r="B3328" s="73"/>
    </row>
    <row r="3329" spans="1:2" x14ac:dyDescent="0.25">
      <c r="A3329" s="73"/>
      <c r="B3329" s="73"/>
    </row>
    <row r="3330" spans="1:2" x14ac:dyDescent="0.25">
      <c r="A3330" s="73"/>
      <c r="B3330" s="73"/>
    </row>
    <row r="3331" spans="1:2" x14ac:dyDescent="0.25">
      <c r="A3331" s="73"/>
      <c r="B3331" s="73"/>
    </row>
    <row r="3332" spans="1:2" x14ac:dyDescent="0.25">
      <c r="A3332" s="73"/>
      <c r="B3332" s="73"/>
    </row>
    <row r="3333" spans="1:2" x14ac:dyDescent="0.25">
      <c r="A3333" s="73"/>
      <c r="B3333" s="73"/>
    </row>
    <row r="3334" spans="1:2" x14ac:dyDescent="0.25">
      <c r="A3334" s="73"/>
      <c r="B3334" s="73"/>
    </row>
    <row r="3335" spans="1:2" x14ac:dyDescent="0.25">
      <c r="A3335" s="73"/>
      <c r="B3335" s="73"/>
    </row>
    <row r="3336" spans="1:2" x14ac:dyDescent="0.25">
      <c r="A3336" s="73"/>
      <c r="B3336" s="73"/>
    </row>
    <row r="3337" spans="1:2" x14ac:dyDescent="0.25">
      <c r="A3337" s="73"/>
      <c r="B3337" s="73"/>
    </row>
    <row r="3338" spans="1:2" x14ac:dyDescent="0.25">
      <c r="A3338" s="73"/>
      <c r="B3338" s="73"/>
    </row>
    <row r="3339" spans="1:2" x14ac:dyDescent="0.25">
      <c r="A3339" s="73"/>
      <c r="B3339" s="73"/>
    </row>
    <row r="3340" spans="1:2" x14ac:dyDescent="0.25">
      <c r="A3340" s="73"/>
      <c r="B3340" s="73"/>
    </row>
    <row r="3341" spans="1:2" x14ac:dyDescent="0.25">
      <c r="A3341" s="73"/>
      <c r="B3341" s="73"/>
    </row>
    <row r="3342" spans="1:2" x14ac:dyDescent="0.25">
      <c r="A3342" s="73"/>
      <c r="B3342" s="73"/>
    </row>
    <row r="3343" spans="1:2" x14ac:dyDescent="0.25">
      <c r="A3343" s="73"/>
      <c r="B3343" s="73"/>
    </row>
    <row r="3344" spans="1:2" x14ac:dyDescent="0.25">
      <c r="A3344" s="73"/>
      <c r="B3344" s="73"/>
    </row>
    <row r="3345" spans="1:2" x14ac:dyDescent="0.25">
      <c r="A3345" s="73"/>
      <c r="B3345" s="73"/>
    </row>
    <row r="3346" spans="1:2" x14ac:dyDescent="0.25">
      <c r="A3346" s="73"/>
      <c r="B3346" s="73"/>
    </row>
    <row r="3347" spans="1:2" x14ac:dyDescent="0.25">
      <c r="A3347" s="73"/>
      <c r="B3347" s="73"/>
    </row>
    <row r="3348" spans="1:2" x14ac:dyDescent="0.25">
      <c r="A3348" s="73"/>
      <c r="B3348" s="73"/>
    </row>
    <row r="3349" spans="1:2" x14ac:dyDescent="0.25">
      <c r="A3349" s="73"/>
      <c r="B3349" s="73"/>
    </row>
    <row r="3350" spans="1:2" x14ac:dyDescent="0.25">
      <c r="A3350" s="73"/>
      <c r="B3350" s="73"/>
    </row>
    <row r="3351" spans="1:2" x14ac:dyDescent="0.25">
      <c r="A3351" s="73"/>
      <c r="B3351" s="73"/>
    </row>
    <row r="3352" spans="1:2" x14ac:dyDescent="0.25">
      <c r="A3352" s="73"/>
      <c r="B3352" s="73"/>
    </row>
    <row r="3353" spans="1:2" x14ac:dyDescent="0.25">
      <c r="A3353" s="73"/>
      <c r="B3353" s="73"/>
    </row>
    <row r="3354" spans="1:2" x14ac:dyDescent="0.25">
      <c r="A3354" s="73"/>
      <c r="B3354" s="73"/>
    </row>
    <row r="3355" spans="1:2" x14ac:dyDescent="0.25">
      <c r="A3355" s="73"/>
      <c r="B3355" s="73"/>
    </row>
    <row r="3356" spans="1:2" x14ac:dyDescent="0.25">
      <c r="A3356" s="73"/>
      <c r="B3356" s="73"/>
    </row>
    <row r="3357" spans="1:2" x14ac:dyDescent="0.25">
      <c r="A3357" s="73"/>
      <c r="B3357" s="73"/>
    </row>
    <row r="3358" spans="1:2" x14ac:dyDescent="0.25">
      <c r="A3358" s="73"/>
      <c r="B3358" s="73"/>
    </row>
    <row r="3359" spans="1:2" x14ac:dyDescent="0.25">
      <c r="A3359" s="73"/>
      <c r="B3359" s="73"/>
    </row>
    <row r="3360" spans="1:2" x14ac:dyDescent="0.25">
      <c r="A3360" s="73"/>
      <c r="B3360" s="73"/>
    </row>
    <row r="3361" spans="1:2" x14ac:dyDescent="0.25">
      <c r="A3361" s="73"/>
      <c r="B3361" s="73"/>
    </row>
    <row r="3362" spans="1:2" x14ac:dyDescent="0.25">
      <c r="A3362" s="73"/>
      <c r="B3362" s="73"/>
    </row>
    <row r="3363" spans="1:2" x14ac:dyDescent="0.25">
      <c r="A3363" s="73"/>
      <c r="B3363" s="73"/>
    </row>
    <row r="3364" spans="1:2" x14ac:dyDescent="0.25">
      <c r="A3364" s="73"/>
      <c r="B3364" s="73"/>
    </row>
    <row r="3365" spans="1:2" x14ac:dyDescent="0.25">
      <c r="A3365" s="73"/>
      <c r="B3365" s="73"/>
    </row>
    <row r="3366" spans="1:2" x14ac:dyDescent="0.25">
      <c r="A3366" s="73"/>
      <c r="B3366" s="73"/>
    </row>
    <row r="3367" spans="1:2" x14ac:dyDescent="0.25">
      <c r="A3367" s="73"/>
      <c r="B3367" s="73"/>
    </row>
    <row r="3368" spans="1:2" x14ac:dyDescent="0.25">
      <c r="A3368" s="73"/>
      <c r="B3368" s="73"/>
    </row>
    <row r="3369" spans="1:2" x14ac:dyDescent="0.25">
      <c r="A3369" s="73"/>
      <c r="B3369" s="73"/>
    </row>
    <row r="3370" spans="1:2" x14ac:dyDescent="0.25">
      <c r="A3370" s="73"/>
      <c r="B3370" s="73"/>
    </row>
    <row r="3371" spans="1:2" x14ac:dyDescent="0.25">
      <c r="A3371" s="73"/>
      <c r="B3371" s="73"/>
    </row>
    <row r="3372" spans="1:2" x14ac:dyDescent="0.25">
      <c r="A3372" s="73"/>
      <c r="B3372" s="73"/>
    </row>
    <row r="3373" spans="1:2" x14ac:dyDescent="0.25">
      <c r="A3373" s="73"/>
      <c r="B3373" s="73"/>
    </row>
    <row r="3374" spans="1:2" x14ac:dyDescent="0.25">
      <c r="A3374" s="73"/>
      <c r="B3374" s="73"/>
    </row>
    <row r="3375" spans="1:2" x14ac:dyDescent="0.25">
      <c r="A3375" s="73"/>
      <c r="B3375" s="73"/>
    </row>
    <row r="3376" spans="1:2" x14ac:dyDescent="0.25">
      <c r="A3376" s="73"/>
      <c r="B3376" s="73"/>
    </row>
    <row r="3377" spans="1:2" x14ac:dyDescent="0.25">
      <c r="A3377" s="73"/>
      <c r="B3377" s="73"/>
    </row>
    <row r="3378" spans="1:2" x14ac:dyDescent="0.25">
      <c r="A3378" s="73"/>
      <c r="B3378" s="73"/>
    </row>
    <row r="3379" spans="1:2" x14ac:dyDescent="0.25">
      <c r="A3379" s="73"/>
      <c r="B3379" s="73"/>
    </row>
    <row r="3380" spans="1:2" x14ac:dyDescent="0.25">
      <c r="A3380" s="73"/>
      <c r="B3380" s="73"/>
    </row>
    <row r="3381" spans="1:2" x14ac:dyDescent="0.25">
      <c r="A3381" s="73"/>
      <c r="B3381" s="73"/>
    </row>
    <row r="3382" spans="1:2" x14ac:dyDescent="0.25">
      <c r="A3382" s="73"/>
      <c r="B3382" s="73"/>
    </row>
    <row r="3383" spans="1:2" x14ac:dyDescent="0.25">
      <c r="A3383" s="73"/>
      <c r="B3383" s="73"/>
    </row>
    <row r="3384" spans="1:2" x14ac:dyDescent="0.25">
      <c r="A3384" s="73"/>
      <c r="B3384" s="73"/>
    </row>
    <row r="3385" spans="1:2" x14ac:dyDescent="0.25">
      <c r="A3385" s="73"/>
      <c r="B3385" s="73"/>
    </row>
    <row r="3386" spans="1:2" x14ac:dyDescent="0.25">
      <c r="A3386" s="73"/>
      <c r="B3386" s="73"/>
    </row>
    <row r="3387" spans="1:2" x14ac:dyDescent="0.25">
      <c r="A3387" s="73"/>
      <c r="B3387" s="73"/>
    </row>
    <row r="3388" spans="1:2" x14ac:dyDescent="0.25">
      <c r="A3388" s="73"/>
      <c r="B3388" s="73"/>
    </row>
    <row r="3389" spans="1:2" x14ac:dyDescent="0.25">
      <c r="A3389" s="73"/>
      <c r="B3389" s="73"/>
    </row>
    <row r="3390" spans="1:2" x14ac:dyDescent="0.25">
      <c r="A3390" s="73"/>
      <c r="B3390" s="73"/>
    </row>
    <row r="3391" spans="1:2" x14ac:dyDescent="0.25">
      <c r="A3391" s="73"/>
      <c r="B3391" s="73"/>
    </row>
    <row r="3392" spans="1:2" x14ac:dyDescent="0.25">
      <c r="A3392" s="73"/>
      <c r="B3392" s="73"/>
    </row>
    <row r="3393" spans="1:2" x14ac:dyDescent="0.25">
      <c r="A3393" s="73"/>
      <c r="B3393" s="73"/>
    </row>
    <row r="3394" spans="1:2" x14ac:dyDescent="0.25">
      <c r="A3394" s="73"/>
      <c r="B3394" s="73"/>
    </row>
    <row r="3395" spans="1:2" x14ac:dyDescent="0.25">
      <c r="A3395" s="73"/>
      <c r="B3395" s="73"/>
    </row>
    <row r="3396" spans="1:2" x14ac:dyDescent="0.25">
      <c r="A3396" s="73"/>
      <c r="B3396" s="73"/>
    </row>
    <row r="3397" spans="1:2" x14ac:dyDescent="0.25">
      <c r="A3397" s="73"/>
      <c r="B3397" s="73"/>
    </row>
    <row r="3398" spans="1:2" x14ac:dyDescent="0.25">
      <c r="A3398" s="73"/>
      <c r="B3398" s="73"/>
    </row>
    <row r="3399" spans="1:2" x14ac:dyDescent="0.25">
      <c r="A3399" s="73"/>
      <c r="B3399" s="73"/>
    </row>
    <row r="3400" spans="1:2" x14ac:dyDescent="0.25">
      <c r="A3400" s="73"/>
      <c r="B3400" s="73"/>
    </row>
    <row r="3401" spans="1:2" x14ac:dyDescent="0.25">
      <c r="A3401" s="73"/>
      <c r="B3401" s="73"/>
    </row>
    <row r="3402" spans="1:2" x14ac:dyDescent="0.25">
      <c r="A3402" s="73"/>
      <c r="B3402" s="73"/>
    </row>
    <row r="3403" spans="1:2" x14ac:dyDescent="0.25">
      <c r="A3403" s="73"/>
      <c r="B3403" s="73"/>
    </row>
    <row r="3404" spans="1:2" x14ac:dyDescent="0.25">
      <c r="A3404" s="73"/>
      <c r="B3404" s="73"/>
    </row>
    <row r="3405" spans="1:2" x14ac:dyDescent="0.25">
      <c r="A3405" s="73"/>
      <c r="B3405" s="73"/>
    </row>
    <row r="3406" spans="1:2" x14ac:dyDescent="0.25">
      <c r="A3406" s="73"/>
      <c r="B3406" s="73"/>
    </row>
    <row r="3407" spans="1:2" x14ac:dyDescent="0.25">
      <c r="A3407" s="73"/>
      <c r="B3407" s="73"/>
    </row>
    <row r="3408" spans="1:2" x14ac:dyDescent="0.25">
      <c r="A3408" s="73"/>
      <c r="B3408" s="73"/>
    </row>
    <row r="3409" spans="1:2" x14ac:dyDescent="0.25">
      <c r="A3409" s="73"/>
      <c r="B3409" s="73"/>
    </row>
    <row r="3410" spans="1:2" x14ac:dyDescent="0.25">
      <c r="A3410" s="73"/>
      <c r="B3410" s="73"/>
    </row>
    <row r="3411" spans="1:2" x14ac:dyDescent="0.25">
      <c r="A3411" s="73"/>
      <c r="B3411" s="73"/>
    </row>
    <row r="3412" spans="1:2" x14ac:dyDescent="0.25">
      <c r="A3412" s="73"/>
      <c r="B3412" s="73"/>
    </row>
    <row r="3413" spans="1:2" x14ac:dyDescent="0.25">
      <c r="A3413" s="73"/>
      <c r="B3413" s="73"/>
    </row>
    <row r="3414" spans="1:2" x14ac:dyDescent="0.25">
      <c r="A3414" s="73"/>
      <c r="B3414" s="73"/>
    </row>
    <row r="3415" spans="1:2" x14ac:dyDescent="0.25">
      <c r="A3415" s="73"/>
      <c r="B3415" s="73"/>
    </row>
    <row r="3416" spans="1:2" x14ac:dyDescent="0.25">
      <c r="A3416" s="73"/>
      <c r="B3416" s="73"/>
    </row>
    <row r="3417" spans="1:2" x14ac:dyDescent="0.25">
      <c r="A3417" s="73"/>
      <c r="B3417" s="73"/>
    </row>
    <row r="3418" spans="1:2" x14ac:dyDescent="0.25">
      <c r="A3418" s="73"/>
      <c r="B3418" s="73"/>
    </row>
    <row r="3419" spans="1:2" x14ac:dyDescent="0.25">
      <c r="A3419" s="73"/>
      <c r="B3419" s="73"/>
    </row>
    <row r="3420" spans="1:2" x14ac:dyDescent="0.25">
      <c r="A3420" s="73"/>
      <c r="B3420" s="73"/>
    </row>
    <row r="3421" spans="1:2" x14ac:dyDescent="0.25">
      <c r="A3421" s="73"/>
      <c r="B3421" s="73"/>
    </row>
    <row r="3422" spans="1:2" x14ac:dyDescent="0.25">
      <c r="A3422" s="73"/>
      <c r="B3422" s="73"/>
    </row>
    <row r="3423" spans="1:2" x14ac:dyDescent="0.25">
      <c r="A3423" s="73"/>
      <c r="B3423" s="73"/>
    </row>
    <row r="3424" spans="1:2" x14ac:dyDescent="0.25">
      <c r="A3424" s="73"/>
      <c r="B3424" s="73"/>
    </row>
    <row r="3425" spans="1:2" x14ac:dyDescent="0.25">
      <c r="A3425" s="73"/>
      <c r="B3425" s="73"/>
    </row>
    <row r="3426" spans="1:2" x14ac:dyDescent="0.25">
      <c r="A3426" s="73"/>
      <c r="B3426" s="73"/>
    </row>
    <row r="3427" spans="1:2" x14ac:dyDescent="0.25">
      <c r="A3427" s="73"/>
      <c r="B3427" s="73"/>
    </row>
    <row r="3428" spans="1:2" x14ac:dyDescent="0.25">
      <c r="A3428" s="73"/>
      <c r="B3428" s="73"/>
    </row>
    <row r="3429" spans="1:2" x14ac:dyDescent="0.25">
      <c r="A3429" s="73"/>
      <c r="B3429" s="73"/>
    </row>
    <row r="3430" spans="1:2" x14ac:dyDescent="0.25">
      <c r="A3430" s="73"/>
      <c r="B3430" s="73"/>
    </row>
    <row r="3431" spans="1:2" x14ac:dyDescent="0.25">
      <c r="A3431" s="73"/>
      <c r="B3431" s="73"/>
    </row>
    <row r="3432" spans="1:2" x14ac:dyDescent="0.25">
      <c r="A3432" s="73"/>
      <c r="B3432" s="73"/>
    </row>
    <row r="3433" spans="1:2" x14ac:dyDescent="0.25">
      <c r="A3433" s="73"/>
      <c r="B3433" s="73"/>
    </row>
    <row r="3434" spans="1:2" x14ac:dyDescent="0.25">
      <c r="A3434" s="73"/>
      <c r="B3434" s="73"/>
    </row>
    <row r="3435" spans="1:2" x14ac:dyDescent="0.25">
      <c r="A3435" s="73"/>
      <c r="B3435" s="73"/>
    </row>
    <row r="3436" spans="1:2" x14ac:dyDescent="0.25">
      <c r="A3436" s="73"/>
      <c r="B3436" s="73"/>
    </row>
    <row r="3437" spans="1:2" x14ac:dyDescent="0.25">
      <c r="A3437" s="73"/>
      <c r="B3437" s="73"/>
    </row>
    <row r="3438" spans="1:2" x14ac:dyDescent="0.25">
      <c r="A3438" s="73"/>
      <c r="B3438" s="73"/>
    </row>
    <row r="3439" spans="1:2" x14ac:dyDescent="0.25">
      <c r="A3439" s="73"/>
      <c r="B3439" s="73"/>
    </row>
    <row r="3440" spans="1:2" x14ac:dyDescent="0.25">
      <c r="A3440" s="73"/>
      <c r="B3440" s="73"/>
    </row>
    <row r="3441" spans="1:2" x14ac:dyDescent="0.25">
      <c r="A3441" s="73"/>
      <c r="B3441" s="73"/>
    </row>
    <row r="3442" spans="1:2" x14ac:dyDescent="0.25">
      <c r="A3442" s="73"/>
      <c r="B3442" s="73"/>
    </row>
    <row r="3443" spans="1:2" x14ac:dyDescent="0.25">
      <c r="A3443" s="73"/>
      <c r="B3443" s="73"/>
    </row>
    <row r="3444" spans="1:2" x14ac:dyDescent="0.25">
      <c r="A3444" s="73"/>
      <c r="B3444" s="73"/>
    </row>
    <row r="3445" spans="1:2" x14ac:dyDescent="0.25">
      <c r="A3445" s="73"/>
      <c r="B3445" s="73"/>
    </row>
    <row r="3446" spans="1:2" x14ac:dyDescent="0.25">
      <c r="A3446" s="73"/>
      <c r="B3446" s="73"/>
    </row>
    <row r="3447" spans="1:2" x14ac:dyDescent="0.25">
      <c r="A3447" s="73"/>
      <c r="B3447" s="73"/>
    </row>
    <row r="3448" spans="1:2" x14ac:dyDescent="0.25">
      <c r="A3448" s="73"/>
      <c r="B3448" s="73"/>
    </row>
    <row r="3449" spans="1:2" x14ac:dyDescent="0.25">
      <c r="A3449" s="73"/>
      <c r="B3449" s="73"/>
    </row>
    <row r="3450" spans="1:2" x14ac:dyDescent="0.25">
      <c r="A3450" s="73"/>
      <c r="B3450" s="73"/>
    </row>
    <row r="3451" spans="1:2" x14ac:dyDescent="0.25">
      <c r="A3451" s="73"/>
      <c r="B3451" s="73"/>
    </row>
    <row r="3452" spans="1:2" x14ac:dyDescent="0.25">
      <c r="A3452" s="73"/>
      <c r="B3452" s="73"/>
    </row>
    <row r="3453" spans="1:2" x14ac:dyDescent="0.25">
      <c r="A3453" s="73"/>
      <c r="B3453" s="73"/>
    </row>
    <row r="3454" spans="1:2" x14ac:dyDescent="0.25">
      <c r="A3454" s="73"/>
      <c r="B3454" s="73"/>
    </row>
    <row r="3455" spans="1:2" x14ac:dyDescent="0.25">
      <c r="A3455" s="73"/>
      <c r="B3455" s="73"/>
    </row>
    <row r="3456" spans="1:2" x14ac:dyDescent="0.25">
      <c r="A3456" s="73"/>
      <c r="B3456" s="73"/>
    </row>
    <row r="3457" spans="1:2" x14ac:dyDescent="0.25">
      <c r="A3457" s="73"/>
      <c r="B3457" s="73"/>
    </row>
    <row r="3458" spans="1:2" x14ac:dyDescent="0.25">
      <c r="A3458" s="73"/>
      <c r="B3458" s="73"/>
    </row>
    <row r="3459" spans="1:2" x14ac:dyDescent="0.25">
      <c r="A3459" s="73"/>
      <c r="B3459" s="73"/>
    </row>
    <row r="3460" spans="1:2" x14ac:dyDescent="0.25">
      <c r="A3460" s="73"/>
      <c r="B3460" s="73"/>
    </row>
    <row r="3461" spans="1:2" x14ac:dyDescent="0.25">
      <c r="A3461" s="73"/>
      <c r="B3461" s="73"/>
    </row>
    <row r="3462" spans="1:2" x14ac:dyDescent="0.25">
      <c r="A3462" s="73"/>
      <c r="B3462" s="73"/>
    </row>
    <row r="3463" spans="1:2" x14ac:dyDescent="0.25">
      <c r="A3463" s="73"/>
      <c r="B3463" s="73"/>
    </row>
    <row r="3464" spans="1:2" x14ac:dyDescent="0.25">
      <c r="A3464" s="73"/>
      <c r="B3464" s="73"/>
    </row>
    <row r="3465" spans="1:2" x14ac:dyDescent="0.25">
      <c r="A3465" s="73"/>
      <c r="B3465" s="73"/>
    </row>
    <row r="3466" spans="1:2" x14ac:dyDescent="0.25">
      <c r="A3466" s="73"/>
      <c r="B3466" s="73"/>
    </row>
    <row r="3467" spans="1:2" x14ac:dyDescent="0.25">
      <c r="A3467" s="73"/>
      <c r="B3467" s="73"/>
    </row>
    <row r="3468" spans="1:2" x14ac:dyDescent="0.25">
      <c r="A3468" s="73"/>
      <c r="B3468" s="73"/>
    </row>
    <row r="3469" spans="1:2" x14ac:dyDescent="0.25">
      <c r="A3469" s="73"/>
      <c r="B3469" s="73"/>
    </row>
    <row r="3470" spans="1:2" x14ac:dyDescent="0.25">
      <c r="A3470" s="73"/>
      <c r="B3470" s="73"/>
    </row>
    <row r="3471" spans="1:2" x14ac:dyDescent="0.25">
      <c r="A3471" s="73"/>
      <c r="B3471" s="73"/>
    </row>
    <row r="3472" spans="1:2" x14ac:dyDescent="0.25">
      <c r="A3472" s="73"/>
      <c r="B3472" s="73"/>
    </row>
    <row r="3473" spans="1:2" x14ac:dyDescent="0.25">
      <c r="A3473" s="73"/>
      <c r="B3473" s="73"/>
    </row>
    <row r="3474" spans="1:2" x14ac:dyDescent="0.25">
      <c r="A3474" s="73"/>
      <c r="B3474" s="73"/>
    </row>
    <row r="3475" spans="1:2" x14ac:dyDescent="0.25">
      <c r="A3475" s="73"/>
      <c r="B3475" s="73"/>
    </row>
    <row r="3476" spans="1:2" x14ac:dyDescent="0.25">
      <c r="A3476" s="73"/>
      <c r="B3476" s="73"/>
    </row>
    <row r="3477" spans="1:2" x14ac:dyDescent="0.25">
      <c r="A3477" s="73"/>
      <c r="B3477" s="73"/>
    </row>
    <row r="3478" spans="1:2" x14ac:dyDescent="0.25">
      <c r="A3478" s="73"/>
      <c r="B3478" s="73"/>
    </row>
    <row r="3479" spans="1:2" x14ac:dyDescent="0.25">
      <c r="A3479" s="73"/>
      <c r="B3479" s="73"/>
    </row>
    <row r="3480" spans="1:2" x14ac:dyDescent="0.25">
      <c r="A3480" s="73"/>
      <c r="B3480" s="73"/>
    </row>
    <row r="3481" spans="1:2" x14ac:dyDescent="0.25">
      <c r="A3481" s="73"/>
      <c r="B3481" s="73"/>
    </row>
    <row r="3482" spans="1:2" x14ac:dyDescent="0.25">
      <c r="A3482" s="73"/>
      <c r="B3482" s="73"/>
    </row>
    <row r="3483" spans="1:2" x14ac:dyDescent="0.25">
      <c r="A3483" s="73"/>
      <c r="B3483" s="73"/>
    </row>
    <row r="3484" spans="1:2" x14ac:dyDescent="0.25">
      <c r="A3484" s="73"/>
      <c r="B3484" s="73"/>
    </row>
    <row r="3485" spans="1:2" x14ac:dyDescent="0.25">
      <c r="A3485" s="73"/>
      <c r="B3485" s="73"/>
    </row>
    <row r="3486" spans="1:2" x14ac:dyDescent="0.25">
      <c r="A3486" s="73"/>
      <c r="B3486" s="73"/>
    </row>
    <row r="3487" spans="1:2" x14ac:dyDescent="0.25">
      <c r="A3487" s="73"/>
      <c r="B3487" s="73"/>
    </row>
    <row r="3488" spans="1:2" x14ac:dyDescent="0.25">
      <c r="A3488" s="73"/>
      <c r="B3488" s="73"/>
    </row>
    <row r="3489" spans="1:2" x14ac:dyDescent="0.25">
      <c r="A3489" s="73"/>
      <c r="B3489" s="73"/>
    </row>
    <row r="3490" spans="1:2" x14ac:dyDescent="0.25">
      <c r="A3490" s="73"/>
      <c r="B3490" s="73"/>
    </row>
    <row r="3491" spans="1:2" x14ac:dyDescent="0.25">
      <c r="A3491" s="73"/>
      <c r="B3491" s="73"/>
    </row>
    <row r="3492" spans="1:2" x14ac:dyDescent="0.25">
      <c r="A3492" s="73"/>
      <c r="B3492" s="73"/>
    </row>
    <row r="3493" spans="1:2" x14ac:dyDescent="0.25">
      <c r="A3493" s="73"/>
      <c r="B3493" s="73"/>
    </row>
    <row r="3494" spans="1:2" x14ac:dyDescent="0.25">
      <c r="A3494" s="73"/>
      <c r="B3494" s="73"/>
    </row>
    <row r="3495" spans="1:2" x14ac:dyDescent="0.25">
      <c r="A3495" s="73"/>
      <c r="B3495" s="73"/>
    </row>
    <row r="3496" spans="1:2" x14ac:dyDescent="0.25">
      <c r="A3496" s="73"/>
      <c r="B3496" s="73"/>
    </row>
    <row r="3497" spans="1:2" x14ac:dyDescent="0.25">
      <c r="A3497" s="73"/>
      <c r="B3497" s="73"/>
    </row>
    <row r="3498" spans="1:2" x14ac:dyDescent="0.25">
      <c r="A3498" s="73"/>
      <c r="B3498" s="73"/>
    </row>
    <row r="3499" spans="1:2" x14ac:dyDescent="0.25">
      <c r="A3499" s="73"/>
      <c r="B3499" s="73"/>
    </row>
    <row r="3500" spans="1:2" x14ac:dyDescent="0.25">
      <c r="A3500" s="73"/>
      <c r="B3500" s="73"/>
    </row>
    <row r="3501" spans="1:2" x14ac:dyDescent="0.25">
      <c r="A3501" s="73"/>
      <c r="B3501" s="73"/>
    </row>
    <row r="3502" spans="1:2" x14ac:dyDescent="0.25">
      <c r="A3502" s="73"/>
      <c r="B3502" s="73"/>
    </row>
    <row r="3503" spans="1:2" x14ac:dyDescent="0.25">
      <c r="A3503" s="73"/>
      <c r="B3503" s="73"/>
    </row>
    <row r="3504" spans="1:2" x14ac:dyDescent="0.25">
      <c r="A3504" s="73"/>
      <c r="B3504" s="73"/>
    </row>
    <row r="3505" spans="1:2" x14ac:dyDescent="0.25">
      <c r="A3505" s="73"/>
      <c r="B3505" s="73"/>
    </row>
    <row r="3506" spans="1:2" x14ac:dyDescent="0.25">
      <c r="A3506" s="73"/>
      <c r="B3506" s="73"/>
    </row>
    <row r="3507" spans="1:2" x14ac:dyDescent="0.25">
      <c r="A3507" s="73"/>
      <c r="B3507" s="73"/>
    </row>
    <row r="3508" spans="1:2" x14ac:dyDescent="0.25">
      <c r="A3508" s="73"/>
      <c r="B3508" s="73"/>
    </row>
    <row r="3509" spans="1:2" x14ac:dyDescent="0.25">
      <c r="A3509" s="73"/>
      <c r="B3509" s="73"/>
    </row>
    <row r="3510" spans="1:2" x14ac:dyDescent="0.25">
      <c r="A3510" s="73"/>
      <c r="B3510" s="73"/>
    </row>
    <row r="3511" spans="1:2" x14ac:dyDescent="0.25">
      <c r="A3511" s="73"/>
      <c r="B3511" s="73"/>
    </row>
    <row r="3512" spans="1:2" x14ac:dyDescent="0.25">
      <c r="A3512" s="73"/>
      <c r="B3512" s="73"/>
    </row>
    <row r="3513" spans="1:2" x14ac:dyDescent="0.25">
      <c r="A3513" s="73"/>
      <c r="B3513" s="73"/>
    </row>
    <row r="3514" spans="1:2" x14ac:dyDescent="0.25">
      <c r="A3514" s="73"/>
      <c r="B3514" s="73"/>
    </row>
    <row r="3515" spans="1:2" x14ac:dyDescent="0.25">
      <c r="A3515" s="73"/>
      <c r="B3515" s="73"/>
    </row>
    <row r="3516" spans="1:2" x14ac:dyDescent="0.25">
      <c r="A3516" s="73"/>
      <c r="B3516" s="73"/>
    </row>
    <row r="3517" spans="1:2" x14ac:dyDescent="0.25">
      <c r="A3517" s="73"/>
      <c r="B3517" s="73"/>
    </row>
    <row r="3518" spans="1:2" x14ac:dyDescent="0.25">
      <c r="A3518" s="73"/>
      <c r="B3518" s="73"/>
    </row>
    <row r="3519" spans="1:2" x14ac:dyDescent="0.25">
      <c r="A3519" s="73"/>
      <c r="B3519" s="73"/>
    </row>
    <row r="3520" spans="1:2" x14ac:dyDescent="0.25">
      <c r="A3520" s="73"/>
      <c r="B3520" s="73"/>
    </row>
    <row r="3521" spans="1:2" x14ac:dyDescent="0.25">
      <c r="A3521" s="73"/>
      <c r="B3521" s="73"/>
    </row>
    <row r="3522" spans="1:2" x14ac:dyDescent="0.25">
      <c r="A3522" s="73"/>
      <c r="B3522" s="73"/>
    </row>
    <row r="3523" spans="1:2" x14ac:dyDescent="0.25">
      <c r="A3523" s="73"/>
      <c r="B3523" s="73"/>
    </row>
    <row r="3524" spans="1:2" x14ac:dyDescent="0.25">
      <c r="A3524" s="73"/>
      <c r="B3524" s="73"/>
    </row>
    <row r="3525" spans="1:2" x14ac:dyDescent="0.25">
      <c r="A3525" s="73"/>
      <c r="B3525" s="73"/>
    </row>
    <row r="3526" spans="1:2" x14ac:dyDescent="0.25">
      <c r="A3526" s="73"/>
      <c r="B3526" s="73"/>
    </row>
    <row r="3527" spans="1:2" x14ac:dyDescent="0.25">
      <c r="A3527" s="73"/>
      <c r="B3527" s="73"/>
    </row>
    <row r="3528" spans="1:2" x14ac:dyDescent="0.25">
      <c r="A3528" s="73"/>
      <c r="B3528" s="73"/>
    </row>
    <row r="3529" spans="1:2" x14ac:dyDescent="0.25">
      <c r="A3529" s="73"/>
      <c r="B3529" s="73"/>
    </row>
    <row r="3530" spans="1:2" x14ac:dyDescent="0.25">
      <c r="A3530" s="73"/>
      <c r="B3530" s="73"/>
    </row>
    <row r="3531" spans="1:2" x14ac:dyDescent="0.25">
      <c r="A3531" s="73"/>
      <c r="B3531" s="73"/>
    </row>
    <row r="3532" spans="1:2" x14ac:dyDescent="0.25">
      <c r="A3532" s="73"/>
      <c r="B3532" s="73"/>
    </row>
    <row r="3533" spans="1:2" x14ac:dyDescent="0.25">
      <c r="A3533" s="73"/>
      <c r="B3533" s="73"/>
    </row>
    <row r="3534" spans="1:2" x14ac:dyDescent="0.25">
      <c r="A3534" s="73"/>
      <c r="B3534" s="73"/>
    </row>
    <row r="3535" spans="1:2" x14ac:dyDescent="0.25">
      <c r="A3535" s="73"/>
      <c r="B3535" s="73"/>
    </row>
    <row r="3536" spans="1:2" x14ac:dyDescent="0.25">
      <c r="A3536" s="73"/>
      <c r="B3536" s="73"/>
    </row>
    <row r="3537" spans="1:2" x14ac:dyDescent="0.25">
      <c r="A3537" s="73"/>
      <c r="B3537" s="73"/>
    </row>
    <row r="3538" spans="1:2" x14ac:dyDescent="0.25">
      <c r="A3538" s="73"/>
      <c r="B3538" s="73"/>
    </row>
    <row r="3539" spans="1:2" x14ac:dyDescent="0.25">
      <c r="A3539" s="73"/>
      <c r="B3539" s="73"/>
    </row>
    <row r="3540" spans="1:2" x14ac:dyDescent="0.25">
      <c r="A3540" s="73"/>
      <c r="B3540" s="73"/>
    </row>
    <row r="3541" spans="1:2" x14ac:dyDescent="0.25">
      <c r="A3541" s="73"/>
      <c r="B3541" s="73"/>
    </row>
    <row r="3542" spans="1:2" x14ac:dyDescent="0.25">
      <c r="A3542" s="73"/>
      <c r="B3542" s="73"/>
    </row>
    <row r="3543" spans="1:2" x14ac:dyDescent="0.25">
      <c r="A3543" s="73"/>
      <c r="B3543" s="73"/>
    </row>
    <row r="3544" spans="1:2" x14ac:dyDescent="0.25">
      <c r="A3544" s="73"/>
      <c r="B3544" s="73"/>
    </row>
    <row r="3545" spans="1:2" x14ac:dyDescent="0.25">
      <c r="A3545" s="73"/>
      <c r="B3545" s="73"/>
    </row>
    <row r="3546" spans="1:2" x14ac:dyDescent="0.25">
      <c r="A3546" s="73"/>
      <c r="B3546" s="73"/>
    </row>
    <row r="3547" spans="1:2" x14ac:dyDescent="0.25">
      <c r="A3547" s="73"/>
      <c r="B3547" s="73"/>
    </row>
    <row r="3548" spans="1:2" x14ac:dyDescent="0.25">
      <c r="A3548" s="73"/>
      <c r="B3548" s="73"/>
    </row>
    <row r="3549" spans="1:2" x14ac:dyDescent="0.25">
      <c r="A3549" s="73"/>
      <c r="B3549" s="73"/>
    </row>
    <row r="3550" spans="1:2" x14ac:dyDescent="0.25">
      <c r="A3550" s="73"/>
      <c r="B3550" s="73"/>
    </row>
    <row r="3551" spans="1:2" x14ac:dyDescent="0.25">
      <c r="A3551" s="73"/>
      <c r="B3551" s="73"/>
    </row>
    <row r="3552" spans="1:2" x14ac:dyDescent="0.25">
      <c r="A3552" s="73"/>
      <c r="B3552" s="73"/>
    </row>
    <row r="3553" spans="1:2" x14ac:dyDescent="0.25">
      <c r="A3553" s="73"/>
      <c r="B3553" s="73"/>
    </row>
    <row r="3554" spans="1:2" x14ac:dyDescent="0.25">
      <c r="A3554" s="73"/>
      <c r="B3554" s="73"/>
    </row>
    <row r="3555" spans="1:2" x14ac:dyDescent="0.25">
      <c r="A3555" s="73"/>
      <c r="B3555" s="73"/>
    </row>
    <row r="3556" spans="1:2" x14ac:dyDescent="0.25">
      <c r="A3556" s="73"/>
      <c r="B3556" s="73"/>
    </row>
    <row r="3557" spans="1:2" x14ac:dyDescent="0.25">
      <c r="A3557" s="73"/>
      <c r="B3557" s="73"/>
    </row>
    <row r="3558" spans="1:2" x14ac:dyDescent="0.25">
      <c r="A3558" s="73"/>
      <c r="B3558" s="73"/>
    </row>
    <row r="3559" spans="1:2" x14ac:dyDescent="0.25">
      <c r="A3559" s="73"/>
      <c r="B3559" s="73"/>
    </row>
    <row r="3560" spans="1:2" x14ac:dyDescent="0.25">
      <c r="A3560" s="73"/>
      <c r="B3560" s="73"/>
    </row>
    <row r="3561" spans="1:2" x14ac:dyDescent="0.25">
      <c r="A3561" s="73"/>
      <c r="B3561" s="73"/>
    </row>
    <row r="3562" spans="1:2" x14ac:dyDescent="0.25">
      <c r="A3562" s="73"/>
      <c r="B3562" s="73"/>
    </row>
    <row r="3563" spans="1:2" x14ac:dyDescent="0.25">
      <c r="A3563" s="73"/>
      <c r="B3563" s="73"/>
    </row>
    <row r="3564" spans="1:2" x14ac:dyDescent="0.25">
      <c r="A3564" s="73"/>
      <c r="B3564" s="73"/>
    </row>
    <row r="3565" spans="1:2" x14ac:dyDescent="0.25">
      <c r="A3565" s="73"/>
      <c r="B3565" s="73"/>
    </row>
    <row r="3566" spans="1:2" x14ac:dyDescent="0.25">
      <c r="A3566" s="73"/>
      <c r="B3566" s="73"/>
    </row>
    <row r="3567" spans="1:2" x14ac:dyDescent="0.25">
      <c r="A3567" s="73"/>
      <c r="B3567" s="73"/>
    </row>
    <row r="3568" spans="1:2" x14ac:dyDescent="0.25">
      <c r="A3568" s="73"/>
      <c r="B3568" s="73"/>
    </row>
    <row r="3569" spans="1:2" x14ac:dyDescent="0.25">
      <c r="A3569" s="73"/>
      <c r="B3569" s="73"/>
    </row>
    <row r="3570" spans="1:2" x14ac:dyDescent="0.25">
      <c r="A3570" s="73"/>
      <c r="B3570" s="73"/>
    </row>
    <row r="3571" spans="1:2" x14ac:dyDescent="0.25">
      <c r="A3571" s="73"/>
      <c r="B3571" s="73"/>
    </row>
    <row r="3572" spans="1:2" x14ac:dyDescent="0.25">
      <c r="A3572" s="73"/>
      <c r="B3572" s="73"/>
    </row>
    <row r="3573" spans="1:2" x14ac:dyDescent="0.25">
      <c r="A3573" s="73"/>
      <c r="B3573" s="73"/>
    </row>
    <row r="3574" spans="1:2" x14ac:dyDescent="0.25">
      <c r="A3574" s="73"/>
      <c r="B3574" s="73"/>
    </row>
    <row r="3575" spans="1:2" x14ac:dyDescent="0.25">
      <c r="A3575" s="73"/>
      <c r="B3575" s="73"/>
    </row>
    <row r="3576" spans="1:2" x14ac:dyDescent="0.25">
      <c r="A3576" s="73"/>
      <c r="B3576" s="73"/>
    </row>
    <row r="3577" spans="1:2" x14ac:dyDescent="0.25">
      <c r="A3577" s="73"/>
      <c r="B3577" s="73"/>
    </row>
    <row r="3578" spans="1:2" x14ac:dyDescent="0.25">
      <c r="A3578" s="73"/>
      <c r="B3578" s="73"/>
    </row>
    <row r="3579" spans="1:2" x14ac:dyDescent="0.25">
      <c r="A3579" s="73"/>
      <c r="B3579" s="73"/>
    </row>
    <row r="3580" spans="1:2" x14ac:dyDescent="0.25">
      <c r="A3580" s="73"/>
      <c r="B3580" s="73"/>
    </row>
    <row r="3581" spans="1:2" x14ac:dyDescent="0.25">
      <c r="A3581" s="73"/>
      <c r="B3581" s="73"/>
    </row>
    <row r="3582" spans="1:2" x14ac:dyDescent="0.25">
      <c r="A3582" s="73"/>
      <c r="B3582" s="73"/>
    </row>
    <row r="3583" spans="1:2" x14ac:dyDescent="0.25">
      <c r="A3583" s="73"/>
      <c r="B3583" s="73"/>
    </row>
    <row r="3584" spans="1:2" x14ac:dyDescent="0.25">
      <c r="A3584" s="73"/>
      <c r="B3584" s="73"/>
    </row>
    <row r="3585" spans="1:2" x14ac:dyDescent="0.25">
      <c r="A3585" s="73"/>
      <c r="B3585" s="73"/>
    </row>
    <row r="3586" spans="1:2" x14ac:dyDescent="0.25">
      <c r="A3586" s="73"/>
      <c r="B3586" s="73"/>
    </row>
    <row r="3587" spans="1:2" x14ac:dyDescent="0.25">
      <c r="A3587" s="73"/>
      <c r="B3587" s="73"/>
    </row>
    <row r="3588" spans="1:2" x14ac:dyDescent="0.25">
      <c r="A3588" s="73"/>
      <c r="B3588" s="73"/>
    </row>
    <row r="3589" spans="1:2" x14ac:dyDescent="0.25">
      <c r="A3589" s="73"/>
      <c r="B3589" s="73"/>
    </row>
    <row r="3590" spans="1:2" x14ac:dyDescent="0.25">
      <c r="A3590" s="73"/>
      <c r="B3590" s="73"/>
    </row>
    <row r="3591" spans="1:2" x14ac:dyDescent="0.25">
      <c r="A3591" s="73"/>
      <c r="B3591" s="73"/>
    </row>
    <row r="3592" spans="1:2" x14ac:dyDescent="0.25">
      <c r="A3592" s="73"/>
      <c r="B3592" s="73"/>
    </row>
    <row r="3593" spans="1:2" x14ac:dyDescent="0.25">
      <c r="A3593" s="73"/>
      <c r="B3593" s="73"/>
    </row>
    <row r="3594" spans="1:2" x14ac:dyDescent="0.25">
      <c r="A3594" s="73"/>
      <c r="B3594" s="73"/>
    </row>
    <row r="3595" spans="1:2" x14ac:dyDescent="0.25">
      <c r="A3595" s="73"/>
      <c r="B3595" s="73"/>
    </row>
    <row r="3596" spans="1:2" x14ac:dyDescent="0.25">
      <c r="A3596" s="73"/>
      <c r="B3596" s="73"/>
    </row>
    <row r="3597" spans="1:2" x14ac:dyDescent="0.25">
      <c r="A3597" s="73"/>
      <c r="B3597" s="73"/>
    </row>
    <row r="3598" spans="1:2" x14ac:dyDescent="0.25">
      <c r="A3598" s="73"/>
      <c r="B3598" s="73"/>
    </row>
    <row r="3599" spans="1:2" x14ac:dyDescent="0.25">
      <c r="A3599" s="73"/>
      <c r="B3599" s="73"/>
    </row>
    <row r="3600" spans="1:2" x14ac:dyDescent="0.25">
      <c r="A3600" s="73"/>
      <c r="B3600" s="73"/>
    </row>
    <row r="3601" spans="1:2" x14ac:dyDescent="0.25">
      <c r="A3601" s="73"/>
      <c r="B3601" s="73"/>
    </row>
    <row r="3602" spans="1:2" x14ac:dyDescent="0.25">
      <c r="A3602" s="73"/>
      <c r="B3602" s="73"/>
    </row>
    <row r="3603" spans="1:2" x14ac:dyDescent="0.25">
      <c r="A3603" s="73"/>
      <c r="B3603" s="73"/>
    </row>
    <row r="3604" spans="1:2" x14ac:dyDescent="0.25">
      <c r="A3604" s="73"/>
      <c r="B3604" s="73"/>
    </row>
    <row r="3605" spans="1:2" x14ac:dyDescent="0.25">
      <c r="A3605" s="73"/>
      <c r="B3605" s="73"/>
    </row>
    <row r="3606" spans="1:2" x14ac:dyDescent="0.25">
      <c r="A3606" s="73"/>
      <c r="B3606" s="73"/>
    </row>
    <row r="3607" spans="1:2" x14ac:dyDescent="0.25">
      <c r="A3607" s="73"/>
      <c r="B3607" s="73"/>
    </row>
    <row r="3608" spans="1:2" x14ac:dyDescent="0.25">
      <c r="A3608" s="73"/>
      <c r="B3608" s="73"/>
    </row>
    <row r="3609" spans="1:2" x14ac:dyDescent="0.25">
      <c r="A3609" s="73"/>
      <c r="B3609" s="73"/>
    </row>
    <row r="3610" spans="1:2" x14ac:dyDescent="0.25">
      <c r="A3610" s="73"/>
      <c r="B3610" s="73"/>
    </row>
    <row r="3611" spans="1:2" x14ac:dyDescent="0.25">
      <c r="A3611" s="73"/>
      <c r="B3611" s="73"/>
    </row>
    <row r="3612" spans="1:2" x14ac:dyDescent="0.25">
      <c r="A3612" s="73"/>
      <c r="B3612" s="73"/>
    </row>
    <row r="3613" spans="1:2" x14ac:dyDescent="0.25">
      <c r="A3613" s="73"/>
      <c r="B3613" s="73"/>
    </row>
    <row r="3614" spans="1:2" x14ac:dyDescent="0.25">
      <c r="A3614" s="73"/>
      <c r="B3614" s="73"/>
    </row>
    <row r="3615" spans="1:2" x14ac:dyDescent="0.25">
      <c r="A3615" s="73"/>
      <c r="B3615" s="73"/>
    </row>
    <row r="3616" spans="1:2" x14ac:dyDescent="0.25">
      <c r="A3616" s="73"/>
      <c r="B3616" s="73"/>
    </row>
    <row r="3617" spans="1:2" x14ac:dyDescent="0.25">
      <c r="A3617" s="73"/>
      <c r="B3617" s="73"/>
    </row>
    <row r="3618" spans="1:2" x14ac:dyDescent="0.25">
      <c r="A3618" s="73"/>
      <c r="B3618" s="73"/>
    </row>
    <row r="3619" spans="1:2" x14ac:dyDescent="0.25">
      <c r="A3619" s="73"/>
      <c r="B3619" s="73"/>
    </row>
    <row r="3620" spans="1:2" x14ac:dyDescent="0.25">
      <c r="A3620" s="73"/>
      <c r="B3620" s="73"/>
    </row>
    <row r="3621" spans="1:2" x14ac:dyDescent="0.25">
      <c r="A3621" s="73"/>
      <c r="B3621" s="73"/>
    </row>
    <row r="3622" spans="1:2" x14ac:dyDescent="0.25">
      <c r="A3622" s="73"/>
      <c r="B3622" s="73"/>
    </row>
    <row r="3623" spans="1:2" x14ac:dyDescent="0.25">
      <c r="A3623" s="73"/>
      <c r="B3623" s="73"/>
    </row>
    <row r="3624" spans="1:2" x14ac:dyDescent="0.25">
      <c r="A3624" s="73"/>
      <c r="B3624" s="73"/>
    </row>
    <row r="3625" spans="1:2" x14ac:dyDescent="0.25">
      <c r="A3625" s="73"/>
      <c r="B3625" s="73"/>
    </row>
    <row r="3626" spans="1:2" x14ac:dyDescent="0.25">
      <c r="A3626" s="73"/>
      <c r="B3626" s="73"/>
    </row>
    <row r="3627" spans="1:2" x14ac:dyDescent="0.25">
      <c r="A3627" s="73"/>
      <c r="B3627" s="73"/>
    </row>
    <row r="3628" spans="1:2" x14ac:dyDescent="0.25">
      <c r="A3628" s="73"/>
      <c r="B3628" s="73"/>
    </row>
    <row r="3629" spans="1:2" x14ac:dyDescent="0.25">
      <c r="A3629" s="73"/>
      <c r="B3629" s="73"/>
    </row>
    <row r="3630" spans="1:2" x14ac:dyDescent="0.25">
      <c r="A3630" s="73"/>
      <c r="B3630" s="73"/>
    </row>
    <row r="3631" spans="1:2" x14ac:dyDescent="0.25">
      <c r="A3631" s="73"/>
      <c r="B3631" s="73"/>
    </row>
    <row r="3632" spans="1:2" x14ac:dyDescent="0.25">
      <c r="A3632" s="73"/>
      <c r="B3632" s="73"/>
    </row>
    <row r="3633" spans="1:2" x14ac:dyDescent="0.25">
      <c r="A3633" s="73"/>
      <c r="B3633" s="73"/>
    </row>
    <row r="3634" spans="1:2" x14ac:dyDescent="0.25">
      <c r="A3634" s="73"/>
      <c r="B3634" s="73"/>
    </row>
    <row r="3635" spans="1:2" x14ac:dyDescent="0.25">
      <c r="A3635" s="73"/>
      <c r="B3635" s="73"/>
    </row>
    <row r="3636" spans="1:2" x14ac:dyDescent="0.25">
      <c r="A3636" s="73"/>
      <c r="B3636" s="73"/>
    </row>
    <row r="3637" spans="1:2" x14ac:dyDescent="0.25">
      <c r="A3637" s="73"/>
      <c r="B3637" s="73"/>
    </row>
    <row r="3638" spans="1:2" x14ac:dyDescent="0.25">
      <c r="A3638" s="73"/>
      <c r="B3638" s="73"/>
    </row>
    <row r="3639" spans="1:2" x14ac:dyDescent="0.25">
      <c r="A3639" s="73"/>
      <c r="B3639" s="73"/>
    </row>
    <row r="3640" spans="1:2" x14ac:dyDescent="0.25">
      <c r="A3640" s="73"/>
      <c r="B3640" s="73"/>
    </row>
    <row r="3641" spans="1:2" x14ac:dyDescent="0.25">
      <c r="A3641" s="73"/>
      <c r="B3641" s="73"/>
    </row>
    <row r="3642" spans="1:2" x14ac:dyDescent="0.25">
      <c r="A3642" s="73"/>
      <c r="B3642" s="73"/>
    </row>
    <row r="3643" spans="1:2" x14ac:dyDescent="0.25">
      <c r="A3643" s="73"/>
      <c r="B3643" s="73"/>
    </row>
    <row r="3644" spans="1:2" x14ac:dyDescent="0.25">
      <c r="A3644" s="73"/>
      <c r="B3644" s="73"/>
    </row>
    <row r="3645" spans="1:2" x14ac:dyDescent="0.25">
      <c r="A3645" s="73"/>
      <c r="B3645" s="73"/>
    </row>
    <row r="3646" spans="1:2" x14ac:dyDescent="0.25">
      <c r="A3646" s="73"/>
      <c r="B3646" s="73"/>
    </row>
    <row r="3647" spans="1:2" x14ac:dyDescent="0.25">
      <c r="A3647" s="73"/>
      <c r="B3647" s="73"/>
    </row>
    <row r="3648" spans="1:2" x14ac:dyDescent="0.25">
      <c r="A3648" s="73"/>
      <c r="B3648" s="73"/>
    </row>
    <row r="3649" spans="1:2" x14ac:dyDescent="0.25">
      <c r="A3649" s="73"/>
      <c r="B3649" s="73"/>
    </row>
    <row r="3650" spans="1:2" x14ac:dyDescent="0.25">
      <c r="A3650" s="73"/>
      <c r="B3650" s="73"/>
    </row>
    <row r="3651" spans="1:2" x14ac:dyDescent="0.25">
      <c r="A3651" s="73"/>
      <c r="B3651" s="73"/>
    </row>
    <row r="3652" spans="1:2" x14ac:dyDescent="0.25">
      <c r="A3652" s="73"/>
      <c r="B3652" s="73"/>
    </row>
    <row r="3653" spans="1:2" x14ac:dyDescent="0.25">
      <c r="A3653" s="73"/>
      <c r="B3653" s="73"/>
    </row>
    <row r="3654" spans="1:2" x14ac:dyDescent="0.25">
      <c r="A3654" s="73"/>
      <c r="B3654" s="73"/>
    </row>
    <row r="3655" spans="1:2" x14ac:dyDescent="0.25">
      <c r="A3655" s="73"/>
      <c r="B3655" s="73"/>
    </row>
    <row r="3656" spans="1:2" x14ac:dyDescent="0.25">
      <c r="A3656" s="73"/>
      <c r="B3656" s="73"/>
    </row>
    <row r="3657" spans="1:2" x14ac:dyDescent="0.25">
      <c r="A3657" s="73"/>
      <c r="B3657" s="73"/>
    </row>
    <row r="3658" spans="1:2" x14ac:dyDescent="0.25">
      <c r="A3658" s="73"/>
      <c r="B3658" s="73"/>
    </row>
    <row r="3659" spans="1:2" x14ac:dyDescent="0.25">
      <c r="A3659" s="73"/>
      <c r="B3659" s="73"/>
    </row>
    <row r="3660" spans="1:2" x14ac:dyDescent="0.25">
      <c r="A3660" s="73"/>
      <c r="B3660" s="73"/>
    </row>
    <row r="3661" spans="1:2" x14ac:dyDescent="0.25">
      <c r="A3661" s="73"/>
      <c r="B3661" s="73"/>
    </row>
    <row r="3662" spans="1:2" x14ac:dyDescent="0.25">
      <c r="A3662" s="73"/>
      <c r="B3662" s="73"/>
    </row>
    <row r="3663" spans="1:2" x14ac:dyDescent="0.25">
      <c r="A3663" s="73"/>
      <c r="B3663" s="73"/>
    </row>
    <row r="3664" spans="1:2" x14ac:dyDescent="0.25">
      <c r="A3664" s="73"/>
      <c r="B3664" s="73"/>
    </row>
    <row r="3665" spans="1:2" x14ac:dyDescent="0.25">
      <c r="A3665" s="73"/>
      <c r="B3665" s="73"/>
    </row>
    <row r="3666" spans="1:2" x14ac:dyDescent="0.25">
      <c r="A3666" s="73"/>
      <c r="B3666" s="73"/>
    </row>
    <row r="3667" spans="1:2" x14ac:dyDescent="0.25">
      <c r="A3667" s="73"/>
      <c r="B3667" s="73"/>
    </row>
    <row r="3668" spans="1:2" x14ac:dyDescent="0.25">
      <c r="A3668" s="73"/>
      <c r="B3668" s="73"/>
    </row>
    <row r="3669" spans="1:2" x14ac:dyDescent="0.25">
      <c r="A3669" s="73"/>
      <c r="B3669" s="73"/>
    </row>
    <row r="3670" spans="1:2" x14ac:dyDescent="0.25">
      <c r="A3670" s="73"/>
      <c r="B3670" s="73"/>
    </row>
    <row r="3671" spans="1:2" x14ac:dyDescent="0.25">
      <c r="A3671" s="73"/>
      <c r="B3671" s="73"/>
    </row>
    <row r="3672" spans="1:2" x14ac:dyDescent="0.25">
      <c r="A3672" s="73"/>
      <c r="B3672" s="73"/>
    </row>
    <row r="3673" spans="1:2" x14ac:dyDescent="0.25">
      <c r="A3673" s="73"/>
      <c r="B3673" s="73"/>
    </row>
    <row r="3674" spans="1:2" x14ac:dyDescent="0.25">
      <c r="A3674" s="73"/>
      <c r="B3674" s="73"/>
    </row>
    <row r="3675" spans="1:2" x14ac:dyDescent="0.25">
      <c r="A3675" s="73"/>
      <c r="B3675" s="73"/>
    </row>
    <row r="3676" spans="1:2" x14ac:dyDescent="0.25">
      <c r="A3676" s="73"/>
      <c r="B3676" s="73"/>
    </row>
    <row r="3677" spans="1:2" x14ac:dyDescent="0.25">
      <c r="A3677" s="73"/>
      <c r="B3677" s="73"/>
    </row>
    <row r="3678" spans="1:2" x14ac:dyDescent="0.25">
      <c r="A3678" s="73"/>
      <c r="B3678" s="73"/>
    </row>
    <row r="3679" spans="1:2" x14ac:dyDescent="0.25">
      <c r="A3679" s="73"/>
      <c r="B3679" s="73"/>
    </row>
    <row r="3680" spans="1:2" x14ac:dyDescent="0.25">
      <c r="A3680" s="73"/>
      <c r="B3680" s="73"/>
    </row>
    <row r="3681" spans="1:2" x14ac:dyDescent="0.25">
      <c r="A3681" s="73"/>
      <c r="B3681" s="73"/>
    </row>
    <row r="3682" spans="1:2" x14ac:dyDescent="0.25">
      <c r="A3682" s="73"/>
      <c r="B3682" s="73"/>
    </row>
    <row r="3683" spans="1:2" x14ac:dyDescent="0.25">
      <c r="A3683" s="73"/>
      <c r="B3683" s="73"/>
    </row>
    <row r="3684" spans="1:2" x14ac:dyDescent="0.25">
      <c r="A3684" s="73"/>
      <c r="B3684" s="73"/>
    </row>
    <row r="3685" spans="1:2" x14ac:dyDescent="0.25">
      <c r="A3685" s="73"/>
      <c r="B3685" s="73"/>
    </row>
    <row r="3686" spans="1:2" x14ac:dyDescent="0.25">
      <c r="A3686" s="73"/>
      <c r="B3686" s="73"/>
    </row>
    <row r="3687" spans="1:2" x14ac:dyDescent="0.25">
      <c r="A3687" s="73"/>
      <c r="B3687" s="73"/>
    </row>
    <row r="3688" spans="1:2" x14ac:dyDescent="0.25">
      <c r="A3688" s="73"/>
      <c r="B3688" s="73"/>
    </row>
    <row r="3689" spans="1:2" x14ac:dyDescent="0.25">
      <c r="A3689" s="73"/>
      <c r="B3689" s="73"/>
    </row>
    <row r="3690" spans="1:2" x14ac:dyDescent="0.25">
      <c r="A3690" s="73"/>
      <c r="B3690" s="73"/>
    </row>
    <row r="3691" spans="1:2" x14ac:dyDescent="0.25">
      <c r="A3691" s="73"/>
      <c r="B3691" s="73"/>
    </row>
    <row r="3692" spans="1:2" x14ac:dyDescent="0.25">
      <c r="A3692" s="73"/>
      <c r="B3692" s="73"/>
    </row>
    <row r="3693" spans="1:2" x14ac:dyDescent="0.25">
      <c r="A3693" s="73"/>
      <c r="B3693" s="73"/>
    </row>
    <row r="3694" spans="1:2" x14ac:dyDescent="0.25">
      <c r="A3694" s="73"/>
      <c r="B3694" s="73"/>
    </row>
    <row r="3695" spans="1:2" x14ac:dyDescent="0.25">
      <c r="A3695" s="73"/>
      <c r="B3695" s="73"/>
    </row>
    <row r="3696" spans="1:2" x14ac:dyDescent="0.25">
      <c r="A3696" s="73"/>
      <c r="B3696" s="73"/>
    </row>
    <row r="3697" spans="1:2" x14ac:dyDescent="0.25">
      <c r="A3697" s="73"/>
      <c r="B3697" s="73"/>
    </row>
    <row r="3698" spans="1:2" x14ac:dyDescent="0.25">
      <c r="A3698" s="73"/>
      <c r="B3698" s="73"/>
    </row>
    <row r="3699" spans="1:2" x14ac:dyDescent="0.25">
      <c r="A3699" s="73"/>
      <c r="B3699" s="73"/>
    </row>
    <row r="3700" spans="1:2" x14ac:dyDescent="0.25">
      <c r="A3700" s="73"/>
      <c r="B3700" s="73"/>
    </row>
    <row r="3701" spans="1:2" x14ac:dyDescent="0.25">
      <c r="A3701" s="73"/>
      <c r="B3701" s="73"/>
    </row>
    <row r="3702" spans="1:2" x14ac:dyDescent="0.25">
      <c r="A3702" s="73"/>
      <c r="B3702" s="73"/>
    </row>
    <row r="3703" spans="1:2" x14ac:dyDescent="0.25">
      <c r="A3703" s="73"/>
      <c r="B3703" s="73"/>
    </row>
    <row r="3704" spans="1:2" x14ac:dyDescent="0.25">
      <c r="A3704" s="73"/>
      <c r="B3704" s="73"/>
    </row>
    <row r="3705" spans="1:2" x14ac:dyDescent="0.25">
      <c r="A3705" s="73"/>
      <c r="B3705" s="73"/>
    </row>
    <row r="3706" spans="1:2" x14ac:dyDescent="0.25">
      <c r="A3706" s="73"/>
      <c r="B3706" s="73"/>
    </row>
    <row r="3707" spans="1:2" x14ac:dyDescent="0.25">
      <c r="A3707" s="73"/>
      <c r="B3707" s="73"/>
    </row>
    <row r="3708" spans="1:2" x14ac:dyDescent="0.25">
      <c r="A3708" s="73"/>
      <c r="B3708" s="73"/>
    </row>
    <row r="3709" spans="1:2" x14ac:dyDescent="0.25">
      <c r="A3709" s="73"/>
      <c r="B3709" s="73"/>
    </row>
    <row r="3710" spans="1:2" x14ac:dyDescent="0.25">
      <c r="A3710" s="73"/>
      <c r="B3710" s="73"/>
    </row>
    <row r="3711" spans="1:2" x14ac:dyDescent="0.25">
      <c r="A3711" s="73"/>
      <c r="B3711" s="73"/>
    </row>
    <row r="3712" spans="1:2" x14ac:dyDescent="0.25">
      <c r="A3712" s="73"/>
      <c r="B3712" s="73"/>
    </row>
    <row r="3713" spans="1:2" x14ac:dyDescent="0.25">
      <c r="A3713" s="73"/>
      <c r="B3713" s="73"/>
    </row>
    <row r="3714" spans="1:2" x14ac:dyDescent="0.25">
      <c r="A3714" s="73"/>
      <c r="B3714" s="73"/>
    </row>
    <row r="3715" spans="1:2" x14ac:dyDescent="0.25">
      <c r="A3715" s="73"/>
      <c r="B3715" s="73"/>
    </row>
    <row r="3716" spans="1:2" x14ac:dyDescent="0.25">
      <c r="A3716" s="73"/>
      <c r="B3716" s="73"/>
    </row>
    <row r="3717" spans="1:2" x14ac:dyDescent="0.25">
      <c r="A3717" s="73"/>
      <c r="B3717" s="73"/>
    </row>
    <row r="3718" spans="1:2" x14ac:dyDescent="0.25">
      <c r="A3718" s="73"/>
      <c r="B3718" s="73"/>
    </row>
    <row r="3719" spans="1:2" x14ac:dyDescent="0.25">
      <c r="A3719" s="73"/>
      <c r="B3719" s="73"/>
    </row>
    <row r="3720" spans="1:2" x14ac:dyDescent="0.25">
      <c r="A3720" s="73"/>
      <c r="B3720" s="73"/>
    </row>
    <row r="3721" spans="1:2" x14ac:dyDescent="0.25">
      <c r="A3721" s="73"/>
      <c r="B3721" s="73"/>
    </row>
    <row r="3722" spans="1:2" x14ac:dyDescent="0.25">
      <c r="A3722" s="73"/>
      <c r="B3722" s="73"/>
    </row>
    <row r="3723" spans="1:2" x14ac:dyDescent="0.25">
      <c r="A3723" s="73"/>
      <c r="B3723" s="73"/>
    </row>
    <row r="3724" spans="1:2" x14ac:dyDescent="0.25">
      <c r="A3724" s="73"/>
      <c r="B3724" s="73"/>
    </row>
    <row r="3725" spans="1:2" x14ac:dyDescent="0.25">
      <c r="A3725" s="73"/>
      <c r="B3725" s="73"/>
    </row>
    <row r="3726" spans="1:2" x14ac:dyDescent="0.25">
      <c r="A3726" s="73"/>
      <c r="B3726" s="73"/>
    </row>
    <row r="3727" spans="1:2" x14ac:dyDescent="0.25">
      <c r="A3727" s="73"/>
      <c r="B3727" s="73"/>
    </row>
    <row r="3728" spans="1:2" x14ac:dyDescent="0.25">
      <c r="A3728" s="73"/>
      <c r="B3728" s="73"/>
    </row>
    <row r="3729" spans="1:2" x14ac:dyDescent="0.25">
      <c r="A3729" s="73"/>
      <c r="B3729" s="73"/>
    </row>
    <row r="3730" spans="1:2" x14ac:dyDescent="0.25">
      <c r="A3730" s="73"/>
      <c r="B3730" s="73"/>
    </row>
    <row r="3731" spans="1:2" x14ac:dyDescent="0.25">
      <c r="A3731" s="73"/>
      <c r="B3731" s="73"/>
    </row>
    <row r="3732" spans="1:2" x14ac:dyDescent="0.25">
      <c r="A3732" s="73"/>
      <c r="B3732" s="73"/>
    </row>
    <row r="3733" spans="1:2" x14ac:dyDescent="0.25">
      <c r="A3733" s="73"/>
      <c r="B3733" s="73"/>
    </row>
    <row r="3734" spans="1:2" x14ac:dyDescent="0.25">
      <c r="A3734" s="73"/>
      <c r="B3734" s="73"/>
    </row>
    <row r="3735" spans="1:2" x14ac:dyDescent="0.25">
      <c r="A3735" s="73"/>
      <c r="B3735" s="73"/>
    </row>
    <row r="3736" spans="1:2" x14ac:dyDescent="0.25">
      <c r="A3736" s="73"/>
      <c r="B3736" s="73"/>
    </row>
    <row r="3737" spans="1:2" x14ac:dyDescent="0.25">
      <c r="A3737" s="73"/>
      <c r="B3737" s="73"/>
    </row>
    <row r="3738" spans="1:2" x14ac:dyDescent="0.25">
      <c r="A3738" s="73"/>
      <c r="B3738" s="73"/>
    </row>
    <row r="3739" spans="1:2" x14ac:dyDescent="0.25">
      <c r="A3739" s="73"/>
      <c r="B3739" s="73"/>
    </row>
    <row r="3740" spans="1:2" x14ac:dyDescent="0.25">
      <c r="A3740" s="73"/>
      <c r="B3740" s="73"/>
    </row>
    <row r="3741" spans="1:2" x14ac:dyDescent="0.25">
      <c r="A3741" s="73"/>
      <c r="B3741" s="73"/>
    </row>
    <row r="3742" spans="1:2" x14ac:dyDescent="0.25">
      <c r="A3742" s="73"/>
      <c r="B3742" s="73"/>
    </row>
    <row r="3743" spans="1:2" x14ac:dyDescent="0.25">
      <c r="A3743" s="73"/>
      <c r="B3743" s="73"/>
    </row>
    <row r="3744" spans="1:2" x14ac:dyDescent="0.25">
      <c r="A3744" s="73"/>
      <c r="B3744" s="73"/>
    </row>
    <row r="3745" spans="1:2" x14ac:dyDescent="0.25">
      <c r="A3745" s="73"/>
      <c r="B3745" s="73"/>
    </row>
    <row r="3746" spans="1:2" x14ac:dyDescent="0.25">
      <c r="A3746" s="73"/>
      <c r="B3746" s="73"/>
    </row>
    <row r="3747" spans="1:2" x14ac:dyDescent="0.25">
      <c r="A3747" s="73"/>
      <c r="B3747" s="73"/>
    </row>
    <row r="3748" spans="1:2" x14ac:dyDescent="0.25">
      <c r="A3748" s="73"/>
      <c r="B3748" s="73"/>
    </row>
    <row r="3749" spans="1:2" x14ac:dyDescent="0.25">
      <c r="A3749" s="73"/>
      <c r="B3749" s="73"/>
    </row>
    <row r="3750" spans="1:2" x14ac:dyDescent="0.25">
      <c r="A3750" s="73"/>
      <c r="B3750" s="73"/>
    </row>
    <row r="3751" spans="1:2" x14ac:dyDescent="0.25">
      <c r="A3751" s="73"/>
      <c r="B3751" s="73"/>
    </row>
    <row r="3752" spans="1:2" x14ac:dyDescent="0.25">
      <c r="A3752" s="73"/>
      <c r="B3752" s="73"/>
    </row>
    <row r="3753" spans="1:2" x14ac:dyDescent="0.25">
      <c r="A3753" s="73"/>
      <c r="B3753" s="73"/>
    </row>
    <row r="3754" spans="1:2" x14ac:dyDescent="0.25">
      <c r="A3754" s="73"/>
      <c r="B3754" s="73"/>
    </row>
    <row r="3755" spans="1:2" x14ac:dyDescent="0.25">
      <c r="A3755" s="73"/>
      <c r="B3755" s="73"/>
    </row>
    <row r="3756" spans="1:2" x14ac:dyDescent="0.25">
      <c r="A3756" s="73"/>
      <c r="B3756" s="73"/>
    </row>
    <row r="3757" spans="1:2" x14ac:dyDescent="0.25">
      <c r="A3757" s="73"/>
      <c r="B3757" s="73"/>
    </row>
    <row r="3758" spans="1:2" x14ac:dyDescent="0.25">
      <c r="A3758" s="73"/>
      <c r="B3758" s="73"/>
    </row>
    <row r="3759" spans="1:2" x14ac:dyDescent="0.25">
      <c r="A3759" s="73"/>
      <c r="B3759" s="73"/>
    </row>
    <row r="3760" spans="1:2" x14ac:dyDescent="0.25">
      <c r="A3760" s="73"/>
      <c r="B3760" s="73"/>
    </row>
    <row r="3761" spans="1:2" x14ac:dyDescent="0.25">
      <c r="A3761" s="73"/>
      <c r="B3761" s="73"/>
    </row>
    <row r="3762" spans="1:2" x14ac:dyDescent="0.25">
      <c r="A3762" s="73"/>
      <c r="B3762" s="73"/>
    </row>
    <row r="3763" spans="1:2" x14ac:dyDescent="0.25">
      <c r="A3763" s="73"/>
      <c r="B3763" s="73"/>
    </row>
    <row r="3764" spans="1:2" x14ac:dyDescent="0.25">
      <c r="A3764" s="73"/>
      <c r="B3764" s="73"/>
    </row>
    <row r="3765" spans="1:2" x14ac:dyDescent="0.25">
      <c r="A3765" s="73"/>
      <c r="B3765" s="73"/>
    </row>
    <row r="3766" spans="1:2" x14ac:dyDescent="0.25">
      <c r="A3766" s="73"/>
      <c r="B3766" s="73"/>
    </row>
    <row r="3767" spans="1:2" x14ac:dyDescent="0.25">
      <c r="A3767" s="73"/>
      <c r="B3767" s="73"/>
    </row>
    <row r="3768" spans="1:2" x14ac:dyDescent="0.25">
      <c r="A3768" s="73"/>
      <c r="B3768" s="73"/>
    </row>
    <row r="3769" spans="1:2" x14ac:dyDescent="0.25">
      <c r="A3769" s="73"/>
      <c r="B3769" s="73"/>
    </row>
    <row r="3770" spans="1:2" x14ac:dyDescent="0.25">
      <c r="A3770" s="73"/>
      <c r="B3770" s="73"/>
    </row>
    <row r="3771" spans="1:2" x14ac:dyDescent="0.25">
      <c r="A3771" s="73"/>
      <c r="B3771" s="73"/>
    </row>
    <row r="3772" spans="1:2" x14ac:dyDescent="0.25">
      <c r="A3772" s="73"/>
      <c r="B3772" s="73"/>
    </row>
    <row r="3773" spans="1:2" x14ac:dyDescent="0.25">
      <c r="A3773" s="73"/>
      <c r="B3773" s="73"/>
    </row>
    <row r="3774" spans="1:2" x14ac:dyDescent="0.25">
      <c r="A3774" s="73"/>
      <c r="B3774" s="73"/>
    </row>
    <row r="3775" spans="1:2" x14ac:dyDescent="0.25">
      <c r="A3775" s="73"/>
      <c r="B3775" s="73"/>
    </row>
    <row r="3776" spans="1:2" x14ac:dyDescent="0.25">
      <c r="A3776" s="73"/>
      <c r="B3776" s="73"/>
    </row>
    <row r="3777" spans="1:2" x14ac:dyDescent="0.25">
      <c r="A3777" s="73"/>
      <c r="B3777" s="73"/>
    </row>
    <row r="3778" spans="1:2" x14ac:dyDescent="0.25">
      <c r="A3778" s="73"/>
      <c r="B3778" s="73"/>
    </row>
    <row r="3779" spans="1:2" x14ac:dyDescent="0.25">
      <c r="A3779" s="73"/>
      <c r="B3779" s="73"/>
    </row>
    <row r="3780" spans="1:2" x14ac:dyDescent="0.25">
      <c r="A3780" s="73"/>
      <c r="B3780" s="73"/>
    </row>
    <row r="3781" spans="1:2" x14ac:dyDescent="0.25">
      <c r="A3781" s="73"/>
      <c r="B3781" s="73"/>
    </row>
    <row r="3782" spans="1:2" x14ac:dyDescent="0.25">
      <c r="A3782" s="73"/>
      <c r="B3782" s="73"/>
    </row>
    <row r="3783" spans="1:2" x14ac:dyDescent="0.25">
      <c r="A3783" s="73"/>
      <c r="B3783" s="73"/>
    </row>
    <row r="3784" spans="1:2" x14ac:dyDescent="0.25">
      <c r="A3784" s="73"/>
      <c r="B3784" s="73"/>
    </row>
    <row r="3785" spans="1:2" x14ac:dyDescent="0.25">
      <c r="A3785" s="73"/>
      <c r="B3785" s="73"/>
    </row>
    <row r="3786" spans="1:2" x14ac:dyDescent="0.25">
      <c r="A3786" s="73"/>
      <c r="B3786" s="73"/>
    </row>
    <row r="3787" spans="1:2" x14ac:dyDescent="0.25">
      <c r="A3787" s="73"/>
      <c r="B3787" s="73"/>
    </row>
    <row r="3788" spans="1:2" x14ac:dyDescent="0.25">
      <c r="A3788" s="73"/>
      <c r="B3788" s="73"/>
    </row>
    <row r="3789" spans="1:2" x14ac:dyDescent="0.25">
      <c r="A3789" s="73"/>
      <c r="B3789" s="73"/>
    </row>
    <row r="3790" spans="1:2" x14ac:dyDescent="0.25">
      <c r="A3790" s="73"/>
      <c r="B3790" s="73"/>
    </row>
    <row r="3791" spans="1:2" x14ac:dyDescent="0.25">
      <c r="A3791" s="73"/>
      <c r="B3791" s="73"/>
    </row>
    <row r="3792" spans="1:2" x14ac:dyDescent="0.25">
      <c r="A3792" s="73"/>
      <c r="B3792" s="73"/>
    </row>
    <row r="3793" spans="1:2" x14ac:dyDescent="0.25">
      <c r="A3793" s="73"/>
      <c r="B3793" s="73"/>
    </row>
    <row r="3794" spans="1:2" x14ac:dyDescent="0.25">
      <c r="A3794" s="73"/>
      <c r="B3794" s="73"/>
    </row>
    <row r="3795" spans="1:2" x14ac:dyDescent="0.25">
      <c r="A3795" s="73"/>
      <c r="B3795" s="73"/>
    </row>
    <row r="3796" spans="1:2" x14ac:dyDescent="0.25">
      <c r="A3796" s="73"/>
      <c r="B3796" s="73"/>
    </row>
    <row r="3797" spans="1:2" x14ac:dyDescent="0.25">
      <c r="A3797" s="73"/>
      <c r="B3797" s="73"/>
    </row>
    <row r="3798" spans="1:2" x14ac:dyDescent="0.25">
      <c r="A3798" s="73"/>
      <c r="B3798" s="73"/>
    </row>
    <row r="3799" spans="1:2" x14ac:dyDescent="0.25">
      <c r="A3799" s="73"/>
      <c r="B3799" s="73"/>
    </row>
    <row r="3800" spans="1:2" x14ac:dyDescent="0.25">
      <c r="A3800" s="73"/>
      <c r="B3800" s="73"/>
    </row>
    <row r="3801" spans="1:2" x14ac:dyDescent="0.25">
      <c r="A3801" s="73"/>
      <c r="B3801" s="73"/>
    </row>
    <row r="3802" spans="1:2" x14ac:dyDescent="0.25">
      <c r="A3802" s="73"/>
      <c r="B3802" s="73"/>
    </row>
    <row r="3803" spans="1:2" x14ac:dyDescent="0.25">
      <c r="A3803" s="73"/>
      <c r="B3803" s="73"/>
    </row>
    <row r="3804" spans="1:2" x14ac:dyDescent="0.25">
      <c r="A3804" s="73"/>
      <c r="B3804" s="73"/>
    </row>
    <row r="3805" spans="1:2" x14ac:dyDescent="0.25">
      <c r="A3805" s="73"/>
      <c r="B3805" s="73"/>
    </row>
    <row r="3806" spans="1:2" x14ac:dyDescent="0.25">
      <c r="A3806" s="73"/>
      <c r="B3806" s="73"/>
    </row>
    <row r="3807" spans="1:2" x14ac:dyDescent="0.25">
      <c r="A3807" s="73"/>
      <c r="B3807" s="73"/>
    </row>
    <row r="3808" spans="1:2" x14ac:dyDescent="0.25">
      <c r="A3808" s="73"/>
      <c r="B3808" s="73"/>
    </row>
    <row r="3809" spans="1:2" x14ac:dyDescent="0.25">
      <c r="A3809" s="73"/>
      <c r="B3809" s="73"/>
    </row>
    <row r="3810" spans="1:2" x14ac:dyDescent="0.25">
      <c r="A3810" s="73"/>
      <c r="B3810" s="73"/>
    </row>
    <row r="3811" spans="1:2" x14ac:dyDescent="0.25">
      <c r="A3811" s="73"/>
      <c r="B3811" s="73"/>
    </row>
    <row r="3812" spans="1:2" x14ac:dyDescent="0.25">
      <c r="A3812" s="73"/>
      <c r="B3812" s="73"/>
    </row>
    <row r="3813" spans="1:2" x14ac:dyDescent="0.25">
      <c r="A3813" s="73"/>
      <c r="B3813" s="73"/>
    </row>
    <row r="3814" spans="1:2" x14ac:dyDescent="0.25">
      <c r="A3814" s="73"/>
      <c r="B3814" s="73"/>
    </row>
    <row r="3815" spans="1:2" x14ac:dyDescent="0.25">
      <c r="A3815" s="73"/>
      <c r="B3815" s="73"/>
    </row>
    <row r="3816" spans="1:2" x14ac:dyDescent="0.25">
      <c r="A3816" s="73"/>
      <c r="B3816" s="73"/>
    </row>
    <row r="3817" spans="1:2" x14ac:dyDescent="0.25">
      <c r="A3817" s="73"/>
      <c r="B3817" s="73"/>
    </row>
    <row r="3818" spans="1:2" x14ac:dyDescent="0.25">
      <c r="A3818" s="73"/>
      <c r="B3818" s="73"/>
    </row>
    <row r="3819" spans="1:2" x14ac:dyDescent="0.25">
      <c r="A3819" s="73"/>
      <c r="B3819" s="73"/>
    </row>
    <row r="3820" spans="1:2" x14ac:dyDescent="0.25">
      <c r="A3820" s="73"/>
      <c r="B3820" s="73"/>
    </row>
    <row r="3821" spans="1:2" x14ac:dyDescent="0.25">
      <c r="A3821" s="73"/>
      <c r="B3821" s="73"/>
    </row>
    <row r="3822" spans="1:2" x14ac:dyDescent="0.25">
      <c r="A3822" s="73"/>
      <c r="B3822" s="73"/>
    </row>
    <row r="3823" spans="1:2" x14ac:dyDescent="0.25">
      <c r="A3823" s="73"/>
      <c r="B3823" s="73"/>
    </row>
    <row r="3824" spans="1:2" x14ac:dyDescent="0.25">
      <c r="A3824" s="73"/>
      <c r="B3824" s="73"/>
    </row>
    <row r="3825" spans="1:2" x14ac:dyDescent="0.25">
      <c r="A3825" s="73"/>
      <c r="B3825" s="73"/>
    </row>
    <row r="3826" spans="1:2" x14ac:dyDescent="0.25">
      <c r="A3826" s="73"/>
      <c r="B3826" s="73"/>
    </row>
    <row r="3827" spans="1:2" x14ac:dyDescent="0.25">
      <c r="A3827" s="73"/>
      <c r="B3827" s="73"/>
    </row>
    <row r="3828" spans="1:2" x14ac:dyDescent="0.25">
      <c r="A3828" s="73"/>
      <c r="B3828" s="73"/>
    </row>
    <row r="3829" spans="1:2" x14ac:dyDescent="0.25">
      <c r="A3829" s="73"/>
      <c r="B3829" s="73"/>
    </row>
    <row r="3830" spans="1:2" x14ac:dyDescent="0.25">
      <c r="A3830" s="73"/>
      <c r="B3830" s="73"/>
    </row>
    <row r="3831" spans="1:2" x14ac:dyDescent="0.25">
      <c r="A3831" s="73"/>
      <c r="B3831" s="73"/>
    </row>
    <row r="3832" spans="1:2" x14ac:dyDescent="0.25">
      <c r="A3832" s="73"/>
      <c r="B3832" s="73"/>
    </row>
    <row r="3833" spans="1:2" x14ac:dyDescent="0.25">
      <c r="A3833" s="73"/>
      <c r="B3833" s="73"/>
    </row>
    <row r="3834" spans="1:2" x14ac:dyDescent="0.25">
      <c r="A3834" s="73"/>
      <c r="B3834" s="73"/>
    </row>
    <row r="3835" spans="1:2" x14ac:dyDescent="0.25">
      <c r="A3835" s="73"/>
      <c r="B3835" s="73"/>
    </row>
    <row r="3836" spans="1:2" x14ac:dyDescent="0.25">
      <c r="A3836" s="73"/>
      <c r="B3836" s="73"/>
    </row>
    <row r="3837" spans="1:2" x14ac:dyDescent="0.25">
      <c r="A3837" s="73"/>
      <c r="B3837" s="73"/>
    </row>
    <row r="3838" spans="1:2" x14ac:dyDescent="0.25">
      <c r="A3838" s="73"/>
      <c r="B3838" s="73"/>
    </row>
    <row r="3839" spans="1:2" x14ac:dyDescent="0.25">
      <c r="A3839" s="73"/>
      <c r="B3839" s="73"/>
    </row>
    <row r="3840" spans="1:2" x14ac:dyDescent="0.25">
      <c r="A3840" s="73"/>
      <c r="B3840" s="73"/>
    </row>
    <row r="3841" spans="1:2" x14ac:dyDescent="0.25">
      <c r="A3841" s="73"/>
      <c r="B3841" s="73"/>
    </row>
    <row r="3842" spans="1:2" x14ac:dyDescent="0.25">
      <c r="A3842" s="73"/>
      <c r="B3842" s="73"/>
    </row>
    <row r="3843" spans="1:2" x14ac:dyDescent="0.25">
      <c r="A3843" s="73"/>
      <c r="B3843" s="73"/>
    </row>
    <row r="3844" spans="1:2" x14ac:dyDescent="0.25">
      <c r="A3844" s="73"/>
      <c r="B3844" s="73"/>
    </row>
    <row r="3845" spans="1:2" x14ac:dyDescent="0.25">
      <c r="A3845" s="73"/>
      <c r="B3845" s="73"/>
    </row>
    <row r="3846" spans="1:2" x14ac:dyDescent="0.25">
      <c r="A3846" s="73"/>
      <c r="B3846" s="73"/>
    </row>
    <row r="3847" spans="1:2" x14ac:dyDescent="0.25">
      <c r="A3847" s="73"/>
      <c r="B3847" s="73"/>
    </row>
    <row r="3848" spans="1:2" x14ac:dyDescent="0.25">
      <c r="A3848" s="73"/>
      <c r="B3848" s="73"/>
    </row>
    <row r="3849" spans="1:2" x14ac:dyDescent="0.25">
      <c r="A3849" s="73"/>
      <c r="B3849" s="73"/>
    </row>
    <row r="3850" spans="1:2" x14ac:dyDescent="0.25">
      <c r="A3850" s="73"/>
      <c r="B3850" s="73"/>
    </row>
    <row r="3851" spans="1:2" x14ac:dyDescent="0.25">
      <c r="A3851" s="73"/>
      <c r="B3851" s="73"/>
    </row>
    <row r="3852" spans="1:2" x14ac:dyDescent="0.25">
      <c r="A3852" s="73"/>
      <c r="B3852" s="73"/>
    </row>
    <row r="3853" spans="1:2" x14ac:dyDescent="0.25">
      <c r="A3853" s="73"/>
      <c r="B3853" s="73"/>
    </row>
    <row r="3854" spans="1:2" x14ac:dyDescent="0.25">
      <c r="A3854" s="73"/>
      <c r="B3854" s="73"/>
    </row>
    <row r="3855" spans="1:2" x14ac:dyDescent="0.25">
      <c r="A3855" s="73"/>
      <c r="B3855" s="73"/>
    </row>
    <row r="3856" spans="1:2" x14ac:dyDescent="0.25">
      <c r="A3856" s="73"/>
      <c r="B3856" s="73"/>
    </row>
    <row r="3857" spans="1:2" x14ac:dyDescent="0.25">
      <c r="A3857" s="73"/>
      <c r="B3857" s="73"/>
    </row>
    <row r="3858" spans="1:2" x14ac:dyDescent="0.25">
      <c r="A3858" s="73"/>
      <c r="B3858" s="73"/>
    </row>
    <row r="3859" spans="1:2" x14ac:dyDescent="0.25">
      <c r="A3859" s="73"/>
      <c r="B3859" s="73"/>
    </row>
    <row r="3860" spans="1:2" x14ac:dyDescent="0.25">
      <c r="A3860" s="73"/>
      <c r="B3860" s="73"/>
    </row>
    <row r="3861" spans="1:2" x14ac:dyDescent="0.25">
      <c r="A3861" s="73"/>
      <c r="B3861" s="73"/>
    </row>
    <row r="3862" spans="1:2" x14ac:dyDescent="0.25">
      <c r="A3862" s="73"/>
      <c r="B3862" s="73"/>
    </row>
    <row r="3863" spans="1:2" x14ac:dyDescent="0.25">
      <c r="A3863" s="73"/>
      <c r="B3863" s="73"/>
    </row>
    <row r="3864" spans="1:2" x14ac:dyDescent="0.25">
      <c r="A3864" s="73"/>
      <c r="B3864" s="73"/>
    </row>
    <row r="3865" spans="1:2" x14ac:dyDescent="0.25">
      <c r="A3865" s="73"/>
      <c r="B3865" s="73"/>
    </row>
    <row r="3866" spans="1:2" x14ac:dyDescent="0.25">
      <c r="A3866" s="73"/>
      <c r="B3866" s="73"/>
    </row>
    <row r="3867" spans="1:2" x14ac:dyDescent="0.25">
      <c r="A3867" s="73"/>
      <c r="B3867" s="73"/>
    </row>
    <row r="3868" spans="1:2" x14ac:dyDescent="0.25">
      <c r="A3868" s="73"/>
      <c r="B3868" s="73"/>
    </row>
    <row r="3869" spans="1:2" x14ac:dyDescent="0.25">
      <c r="A3869" s="73"/>
      <c r="B3869" s="73"/>
    </row>
    <row r="3870" spans="1:2" x14ac:dyDescent="0.25">
      <c r="A3870" s="73"/>
      <c r="B3870" s="73"/>
    </row>
    <row r="3871" spans="1:2" x14ac:dyDescent="0.25">
      <c r="A3871" s="73"/>
      <c r="B3871" s="73"/>
    </row>
    <row r="3872" spans="1:2" x14ac:dyDescent="0.25">
      <c r="A3872" s="73"/>
      <c r="B3872" s="73"/>
    </row>
    <row r="3873" spans="1:2" x14ac:dyDescent="0.25">
      <c r="A3873" s="73"/>
      <c r="B3873" s="73"/>
    </row>
    <row r="3874" spans="1:2" x14ac:dyDescent="0.25">
      <c r="A3874" s="73"/>
      <c r="B3874" s="73"/>
    </row>
    <row r="3875" spans="1:2" x14ac:dyDescent="0.25">
      <c r="A3875" s="73"/>
      <c r="B3875" s="73"/>
    </row>
    <row r="3876" spans="1:2" x14ac:dyDescent="0.25">
      <c r="A3876" s="73"/>
      <c r="B3876" s="73"/>
    </row>
    <row r="3877" spans="1:2" x14ac:dyDescent="0.25">
      <c r="A3877" s="73"/>
      <c r="B3877" s="73"/>
    </row>
    <row r="3878" spans="1:2" x14ac:dyDescent="0.25">
      <c r="A3878" s="73"/>
      <c r="B3878" s="73"/>
    </row>
    <row r="3879" spans="1:2" x14ac:dyDescent="0.25">
      <c r="A3879" s="73"/>
      <c r="B3879" s="73"/>
    </row>
    <row r="3880" spans="1:2" x14ac:dyDescent="0.25">
      <c r="A3880" s="73"/>
      <c r="B3880" s="73"/>
    </row>
    <row r="3881" spans="1:2" x14ac:dyDescent="0.25">
      <c r="A3881" s="73"/>
      <c r="B3881" s="73"/>
    </row>
    <row r="3882" spans="1:2" x14ac:dyDescent="0.25">
      <c r="A3882" s="73"/>
      <c r="B3882" s="73"/>
    </row>
    <row r="3883" spans="1:2" x14ac:dyDescent="0.25">
      <c r="A3883" s="73"/>
      <c r="B3883" s="73"/>
    </row>
    <row r="3884" spans="1:2" x14ac:dyDescent="0.25">
      <c r="A3884" s="73"/>
      <c r="B3884" s="73"/>
    </row>
    <row r="3885" spans="1:2" x14ac:dyDescent="0.25">
      <c r="A3885" s="73"/>
      <c r="B3885" s="73"/>
    </row>
    <row r="3886" spans="1:2" x14ac:dyDescent="0.25">
      <c r="A3886" s="73"/>
      <c r="B3886" s="73"/>
    </row>
    <row r="3887" spans="1:2" x14ac:dyDescent="0.25">
      <c r="A3887" s="73"/>
      <c r="B3887" s="73"/>
    </row>
    <row r="3888" spans="1:2" x14ac:dyDescent="0.25">
      <c r="A3888" s="73"/>
      <c r="B3888" s="73"/>
    </row>
    <row r="3889" spans="1:2" x14ac:dyDescent="0.25">
      <c r="A3889" s="73"/>
      <c r="B3889" s="73"/>
    </row>
    <row r="3890" spans="1:2" x14ac:dyDescent="0.25">
      <c r="A3890" s="73"/>
      <c r="B3890" s="73"/>
    </row>
    <row r="3891" spans="1:2" x14ac:dyDescent="0.25">
      <c r="A3891" s="73"/>
      <c r="B3891" s="73"/>
    </row>
    <row r="3892" spans="1:2" x14ac:dyDescent="0.25">
      <c r="A3892" s="73"/>
      <c r="B3892" s="73"/>
    </row>
    <row r="3893" spans="1:2" x14ac:dyDescent="0.25">
      <c r="A3893" s="73"/>
      <c r="B3893" s="73"/>
    </row>
    <row r="3894" spans="1:2" x14ac:dyDescent="0.25">
      <c r="A3894" s="73"/>
      <c r="B3894" s="73"/>
    </row>
    <row r="3895" spans="1:2" x14ac:dyDescent="0.25">
      <c r="A3895" s="73"/>
      <c r="B3895" s="73"/>
    </row>
    <row r="3896" spans="1:2" x14ac:dyDescent="0.25">
      <c r="A3896" s="73"/>
      <c r="B3896" s="73"/>
    </row>
    <row r="3897" spans="1:2" x14ac:dyDescent="0.25">
      <c r="A3897" s="73"/>
      <c r="B3897" s="73"/>
    </row>
    <row r="3898" spans="1:2" x14ac:dyDescent="0.25">
      <c r="A3898" s="73"/>
      <c r="B3898" s="73"/>
    </row>
    <row r="3899" spans="1:2" x14ac:dyDescent="0.25">
      <c r="A3899" s="73"/>
      <c r="B3899" s="73"/>
    </row>
    <row r="3900" spans="1:2" x14ac:dyDescent="0.25">
      <c r="A3900" s="73"/>
      <c r="B3900" s="73"/>
    </row>
    <row r="3901" spans="1:2" x14ac:dyDescent="0.25">
      <c r="A3901" s="73"/>
      <c r="B3901" s="73"/>
    </row>
    <row r="3902" spans="1:2" x14ac:dyDescent="0.25">
      <c r="A3902" s="73"/>
      <c r="B3902" s="73"/>
    </row>
    <row r="3903" spans="1:2" x14ac:dyDescent="0.25">
      <c r="A3903" s="73"/>
      <c r="B3903" s="73"/>
    </row>
    <row r="3904" spans="1:2" x14ac:dyDescent="0.25">
      <c r="A3904" s="73"/>
      <c r="B3904" s="73"/>
    </row>
    <row r="3905" spans="1:2" x14ac:dyDescent="0.25">
      <c r="A3905" s="73"/>
      <c r="B3905" s="73"/>
    </row>
    <row r="3906" spans="1:2" x14ac:dyDescent="0.25">
      <c r="A3906" s="73"/>
      <c r="B3906" s="73"/>
    </row>
    <row r="3907" spans="1:2" x14ac:dyDescent="0.25">
      <c r="A3907" s="73"/>
      <c r="B3907" s="73"/>
    </row>
    <row r="3908" spans="1:2" x14ac:dyDescent="0.25">
      <c r="A3908" s="73"/>
      <c r="B3908" s="73"/>
    </row>
    <row r="3909" spans="1:2" x14ac:dyDescent="0.25">
      <c r="A3909" s="73"/>
      <c r="B3909" s="73"/>
    </row>
    <row r="3910" spans="1:2" x14ac:dyDescent="0.25">
      <c r="A3910" s="73"/>
      <c r="B3910" s="73"/>
    </row>
    <row r="3911" spans="1:2" x14ac:dyDescent="0.25">
      <c r="A3911" s="73"/>
      <c r="B3911" s="73"/>
    </row>
    <row r="3912" spans="1:2" x14ac:dyDescent="0.25">
      <c r="A3912" s="73"/>
      <c r="B3912" s="73"/>
    </row>
    <row r="3913" spans="1:2" x14ac:dyDescent="0.25">
      <c r="A3913" s="73"/>
      <c r="B3913" s="73"/>
    </row>
    <row r="3914" spans="1:2" x14ac:dyDescent="0.25">
      <c r="A3914" s="73"/>
      <c r="B3914" s="73"/>
    </row>
    <row r="3915" spans="1:2" x14ac:dyDescent="0.25">
      <c r="A3915" s="73"/>
      <c r="B3915" s="73"/>
    </row>
    <row r="3916" spans="1:2" x14ac:dyDescent="0.25">
      <c r="A3916" s="73"/>
      <c r="B3916" s="73"/>
    </row>
    <row r="3917" spans="1:2" x14ac:dyDescent="0.25">
      <c r="A3917" s="73"/>
      <c r="B3917" s="73"/>
    </row>
    <row r="3918" spans="1:2" x14ac:dyDescent="0.25">
      <c r="A3918" s="73"/>
      <c r="B3918" s="73"/>
    </row>
    <row r="3919" spans="1:2" x14ac:dyDescent="0.25">
      <c r="A3919" s="73"/>
      <c r="B3919" s="73"/>
    </row>
    <row r="3920" spans="1:2" x14ac:dyDescent="0.25">
      <c r="A3920" s="73"/>
      <c r="B3920" s="73"/>
    </row>
    <row r="3921" spans="1:2" x14ac:dyDescent="0.25">
      <c r="A3921" s="73"/>
      <c r="B3921" s="73"/>
    </row>
    <row r="3922" spans="1:2" x14ac:dyDescent="0.25">
      <c r="A3922" s="73"/>
      <c r="B3922" s="73"/>
    </row>
    <row r="3923" spans="1:2" x14ac:dyDescent="0.25">
      <c r="A3923" s="73"/>
      <c r="B3923" s="73"/>
    </row>
    <row r="3924" spans="1:2" x14ac:dyDescent="0.25">
      <c r="A3924" s="73"/>
      <c r="B3924" s="73"/>
    </row>
    <row r="3925" spans="1:2" x14ac:dyDescent="0.25">
      <c r="A3925" s="73"/>
      <c r="B3925" s="73"/>
    </row>
    <row r="3926" spans="1:2" x14ac:dyDescent="0.25">
      <c r="A3926" s="73"/>
      <c r="B3926" s="73"/>
    </row>
    <row r="3927" spans="1:2" x14ac:dyDescent="0.25">
      <c r="A3927" s="73"/>
      <c r="B3927" s="73"/>
    </row>
    <row r="3928" spans="1:2" x14ac:dyDescent="0.25">
      <c r="A3928" s="73"/>
      <c r="B3928" s="73"/>
    </row>
    <row r="3929" spans="1:2" x14ac:dyDescent="0.25">
      <c r="A3929" s="73"/>
      <c r="B3929" s="73"/>
    </row>
    <row r="3930" spans="1:2" x14ac:dyDescent="0.25">
      <c r="A3930" s="73"/>
      <c r="B3930" s="73"/>
    </row>
    <row r="3931" spans="1:2" x14ac:dyDescent="0.25">
      <c r="A3931" s="73"/>
      <c r="B3931" s="73"/>
    </row>
    <row r="3932" spans="1:2" x14ac:dyDescent="0.25">
      <c r="A3932" s="73"/>
      <c r="B3932" s="73"/>
    </row>
    <row r="3933" spans="1:2" x14ac:dyDescent="0.25">
      <c r="A3933" s="73"/>
      <c r="B3933" s="73"/>
    </row>
    <row r="3934" spans="1:2" x14ac:dyDescent="0.25">
      <c r="A3934" s="73"/>
      <c r="B3934" s="73"/>
    </row>
    <row r="3935" spans="1:2" x14ac:dyDescent="0.25">
      <c r="A3935" s="73"/>
      <c r="B3935" s="73"/>
    </row>
    <row r="3936" spans="1:2" x14ac:dyDescent="0.25">
      <c r="A3936" s="73"/>
      <c r="B3936" s="73"/>
    </row>
    <row r="3937" spans="1:2" x14ac:dyDescent="0.25">
      <c r="A3937" s="73"/>
      <c r="B3937" s="73"/>
    </row>
    <row r="3938" spans="1:2" x14ac:dyDescent="0.25">
      <c r="A3938" s="73"/>
      <c r="B3938" s="73"/>
    </row>
    <row r="3939" spans="1:2" x14ac:dyDescent="0.25">
      <c r="A3939" s="73"/>
      <c r="B3939" s="73"/>
    </row>
    <row r="3940" spans="1:2" x14ac:dyDescent="0.25">
      <c r="A3940" s="73"/>
      <c r="B3940" s="73"/>
    </row>
    <row r="3941" spans="1:2" x14ac:dyDescent="0.25">
      <c r="A3941" s="73"/>
      <c r="B3941" s="73"/>
    </row>
    <row r="3942" spans="1:2" x14ac:dyDescent="0.25">
      <c r="A3942" s="73"/>
      <c r="B3942" s="73"/>
    </row>
    <row r="3943" spans="1:2" x14ac:dyDescent="0.25">
      <c r="A3943" s="73"/>
      <c r="B3943" s="73"/>
    </row>
    <row r="3944" spans="1:2" x14ac:dyDescent="0.25">
      <c r="A3944" s="73"/>
      <c r="B3944" s="73"/>
    </row>
    <row r="3945" spans="1:2" x14ac:dyDescent="0.25">
      <c r="A3945" s="73"/>
      <c r="B3945" s="73"/>
    </row>
    <row r="3946" spans="1:2" x14ac:dyDescent="0.25">
      <c r="A3946" s="73"/>
      <c r="B3946" s="73"/>
    </row>
    <row r="3947" spans="1:2" x14ac:dyDescent="0.25">
      <c r="A3947" s="73"/>
      <c r="B3947" s="73"/>
    </row>
    <row r="3948" spans="1:2" x14ac:dyDescent="0.25">
      <c r="A3948" s="73"/>
      <c r="B3948" s="73"/>
    </row>
    <row r="3949" spans="1:2" x14ac:dyDescent="0.25">
      <c r="A3949" s="73"/>
      <c r="B3949" s="73"/>
    </row>
    <row r="3950" spans="1:2" x14ac:dyDescent="0.25">
      <c r="A3950" s="73"/>
      <c r="B3950" s="73"/>
    </row>
    <row r="3951" spans="1:2" x14ac:dyDescent="0.25">
      <c r="A3951" s="73"/>
      <c r="B3951" s="73"/>
    </row>
    <row r="3952" spans="1:2" x14ac:dyDescent="0.25">
      <c r="A3952" s="73"/>
      <c r="B3952" s="73"/>
    </row>
    <row r="3953" spans="1:2" x14ac:dyDescent="0.25">
      <c r="A3953" s="73"/>
      <c r="B3953" s="73"/>
    </row>
    <row r="3954" spans="1:2" x14ac:dyDescent="0.25">
      <c r="A3954" s="73"/>
      <c r="B3954" s="73"/>
    </row>
    <row r="3955" spans="1:2" x14ac:dyDescent="0.25">
      <c r="A3955" s="73"/>
      <c r="B3955" s="73"/>
    </row>
    <row r="3956" spans="1:2" x14ac:dyDescent="0.25">
      <c r="A3956" s="73"/>
      <c r="B3956" s="73"/>
    </row>
    <row r="3957" spans="1:2" x14ac:dyDescent="0.25">
      <c r="A3957" s="73"/>
      <c r="B3957" s="73"/>
    </row>
    <row r="3958" spans="1:2" x14ac:dyDescent="0.25">
      <c r="A3958" s="73"/>
      <c r="B3958" s="73"/>
    </row>
    <row r="3959" spans="1:2" x14ac:dyDescent="0.25">
      <c r="A3959" s="73"/>
      <c r="B3959" s="73"/>
    </row>
    <row r="3960" spans="1:2" x14ac:dyDescent="0.25">
      <c r="A3960" s="73"/>
      <c r="B3960" s="73"/>
    </row>
    <row r="3961" spans="1:2" x14ac:dyDescent="0.25">
      <c r="A3961" s="73"/>
      <c r="B3961" s="73"/>
    </row>
    <row r="3962" spans="1:2" x14ac:dyDescent="0.25">
      <c r="A3962" s="73"/>
      <c r="B3962" s="73"/>
    </row>
    <row r="3963" spans="1:2" x14ac:dyDescent="0.25">
      <c r="A3963" s="73"/>
      <c r="B3963" s="73"/>
    </row>
    <row r="3964" spans="1:2" x14ac:dyDescent="0.25">
      <c r="A3964" s="73"/>
      <c r="B3964" s="73"/>
    </row>
    <row r="3965" spans="1:2" x14ac:dyDescent="0.25">
      <c r="A3965" s="73"/>
      <c r="B3965" s="73"/>
    </row>
    <row r="3966" spans="1:2" x14ac:dyDescent="0.25">
      <c r="A3966" s="73"/>
      <c r="B3966" s="73"/>
    </row>
    <row r="3967" spans="1:2" x14ac:dyDescent="0.25">
      <c r="A3967" s="73"/>
      <c r="B3967" s="73"/>
    </row>
    <row r="3968" spans="1:2" x14ac:dyDescent="0.25">
      <c r="A3968" s="73"/>
      <c r="B3968" s="73"/>
    </row>
    <row r="3969" spans="1:2" x14ac:dyDescent="0.25">
      <c r="A3969" s="73"/>
      <c r="B3969" s="73"/>
    </row>
    <row r="3970" spans="1:2" x14ac:dyDescent="0.25">
      <c r="A3970" s="73"/>
      <c r="B3970" s="73"/>
    </row>
    <row r="3971" spans="1:2" x14ac:dyDescent="0.25">
      <c r="A3971" s="73"/>
      <c r="B3971" s="73"/>
    </row>
    <row r="3972" spans="1:2" x14ac:dyDescent="0.25">
      <c r="A3972" s="73"/>
      <c r="B3972" s="73"/>
    </row>
    <row r="3973" spans="1:2" x14ac:dyDescent="0.25">
      <c r="A3973" s="73"/>
      <c r="B3973" s="73"/>
    </row>
    <row r="3974" spans="1:2" x14ac:dyDescent="0.25">
      <c r="A3974" s="73"/>
      <c r="B3974" s="73"/>
    </row>
    <row r="3975" spans="1:2" x14ac:dyDescent="0.25">
      <c r="A3975" s="73"/>
      <c r="B3975" s="73"/>
    </row>
    <row r="3976" spans="1:2" x14ac:dyDescent="0.25">
      <c r="A3976" s="73"/>
      <c r="B3976" s="73"/>
    </row>
    <row r="3977" spans="1:2" x14ac:dyDescent="0.25">
      <c r="A3977" s="73"/>
      <c r="B3977" s="73"/>
    </row>
    <row r="3978" spans="1:2" x14ac:dyDescent="0.25">
      <c r="A3978" s="73"/>
      <c r="B3978" s="73"/>
    </row>
    <row r="3979" spans="1:2" x14ac:dyDescent="0.25">
      <c r="A3979" s="73"/>
      <c r="B3979" s="73"/>
    </row>
    <row r="3980" spans="1:2" x14ac:dyDescent="0.25">
      <c r="A3980" s="73"/>
      <c r="B3980" s="73"/>
    </row>
    <row r="3981" spans="1:2" x14ac:dyDescent="0.25">
      <c r="A3981" s="73"/>
      <c r="B3981" s="73"/>
    </row>
    <row r="3982" spans="1:2" x14ac:dyDescent="0.25">
      <c r="A3982" s="73"/>
      <c r="B3982" s="73"/>
    </row>
    <row r="3983" spans="1:2" x14ac:dyDescent="0.25">
      <c r="A3983" s="73"/>
      <c r="B3983" s="73"/>
    </row>
    <row r="3984" spans="1:2" x14ac:dyDescent="0.25">
      <c r="A3984" s="73"/>
      <c r="B3984" s="73"/>
    </row>
    <row r="3985" spans="1:2" x14ac:dyDescent="0.25">
      <c r="A3985" s="73"/>
      <c r="B3985" s="73"/>
    </row>
    <row r="3986" spans="1:2" x14ac:dyDescent="0.25">
      <c r="A3986" s="73"/>
      <c r="B3986" s="73"/>
    </row>
    <row r="3987" spans="1:2" x14ac:dyDescent="0.25">
      <c r="A3987" s="73"/>
      <c r="B3987" s="73"/>
    </row>
    <row r="3988" spans="1:2" x14ac:dyDescent="0.25">
      <c r="A3988" s="73"/>
      <c r="B3988" s="73"/>
    </row>
    <row r="3989" spans="1:2" x14ac:dyDescent="0.25">
      <c r="A3989" s="73"/>
      <c r="B3989" s="73"/>
    </row>
    <row r="3990" spans="1:2" x14ac:dyDescent="0.25">
      <c r="A3990" s="73"/>
      <c r="B3990" s="73"/>
    </row>
    <row r="3991" spans="1:2" x14ac:dyDescent="0.25">
      <c r="A3991" s="73"/>
      <c r="B3991" s="73"/>
    </row>
    <row r="3992" spans="1:2" x14ac:dyDescent="0.25">
      <c r="A3992" s="73"/>
      <c r="B3992" s="73"/>
    </row>
    <row r="3993" spans="1:2" x14ac:dyDescent="0.25">
      <c r="A3993" s="73"/>
      <c r="B3993" s="73"/>
    </row>
    <row r="3994" spans="1:2" x14ac:dyDescent="0.25">
      <c r="A3994" s="73"/>
      <c r="B3994" s="73"/>
    </row>
    <row r="3995" spans="1:2" x14ac:dyDescent="0.25">
      <c r="A3995" s="73"/>
      <c r="B3995" s="73"/>
    </row>
    <row r="3996" spans="1:2" x14ac:dyDescent="0.25">
      <c r="A3996" s="73"/>
      <c r="B3996" s="73"/>
    </row>
    <row r="3997" spans="1:2" x14ac:dyDescent="0.25">
      <c r="A3997" s="73"/>
      <c r="B3997" s="73"/>
    </row>
    <row r="3998" spans="1:2" x14ac:dyDescent="0.25">
      <c r="A3998" s="73"/>
      <c r="B3998" s="73"/>
    </row>
    <row r="3999" spans="1:2" x14ac:dyDescent="0.25">
      <c r="A3999" s="73"/>
      <c r="B3999" s="73"/>
    </row>
    <row r="4000" spans="1:2" x14ac:dyDescent="0.25">
      <c r="A4000" s="73"/>
      <c r="B4000" s="73"/>
    </row>
    <row r="4001" spans="1:2" x14ac:dyDescent="0.25">
      <c r="A4001" s="73"/>
      <c r="B4001" s="73"/>
    </row>
    <row r="4002" spans="1:2" x14ac:dyDescent="0.25">
      <c r="A4002" s="73"/>
      <c r="B4002" s="73"/>
    </row>
    <row r="4003" spans="1:2" x14ac:dyDescent="0.25">
      <c r="A4003" s="73"/>
      <c r="B4003" s="73"/>
    </row>
    <row r="4004" spans="1:2" x14ac:dyDescent="0.25">
      <c r="A4004" s="73"/>
      <c r="B4004" s="73"/>
    </row>
    <row r="4005" spans="1:2" x14ac:dyDescent="0.25">
      <c r="A4005" s="73"/>
      <c r="B4005" s="73"/>
    </row>
    <row r="4006" spans="1:2" x14ac:dyDescent="0.25">
      <c r="A4006" s="73"/>
      <c r="B4006" s="73"/>
    </row>
    <row r="4007" spans="1:2" x14ac:dyDescent="0.25">
      <c r="A4007" s="73"/>
      <c r="B4007" s="73"/>
    </row>
    <row r="4008" spans="1:2" x14ac:dyDescent="0.25">
      <c r="A4008" s="73"/>
      <c r="B4008" s="73"/>
    </row>
    <row r="4009" spans="1:2" x14ac:dyDescent="0.25">
      <c r="A4009" s="73"/>
      <c r="B4009" s="73"/>
    </row>
    <row r="4010" spans="1:2" x14ac:dyDescent="0.25">
      <c r="A4010" s="73"/>
      <c r="B4010" s="73"/>
    </row>
    <row r="4011" spans="1:2" x14ac:dyDescent="0.25">
      <c r="A4011" s="73"/>
      <c r="B4011" s="73"/>
    </row>
    <row r="4012" spans="1:2" x14ac:dyDescent="0.25">
      <c r="A4012" s="73"/>
      <c r="B4012" s="73"/>
    </row>
    <row r="4013" spans="1:2" x14ac:dyDescent="0.25">
      <c r="A4013" s="73"/>
      <c r="B4013" s="73"/>
    </row>
    <row r="4014" spans="1:2" x14ac:dyDescent="0.25">
      <c r="A4014" s="73"/>
      <c r="B4014" s="73"/>
    </row>
    <row r="4015" spans="1:2" x14ac:dyDescent="0.25">
      <c r="A4015" s="73"/>
      <c r="B4015" s="73"/>
    </row>
    <row r="4016" spans="1:2" x14ac:dyDescent="0.25">
      <c r="A4016" s="73"/>
      <c r="B4016" s="73"/>
    </row>
    <row r="4017" spans="1:2" x14ac:dyDescent="0.25">
      <c r="A4017" s="73"/>
      <c r="B4017" s="73"/>
    </row>
    <row r="4018" spans="1:2" x14ac:dyDescent="0.25">
      <c r="A4018" s="73"/>
      <c r="B4018" s="73"/>
    </row>
    <row r="4019" spans="1:2" x14ac:dyDescent="0.25">
      <c r="A4019" s="73"/>
      <c r="B4019" s="73"/>
    </row>
    <row r="4020" spans="1:2" x14ac:dyDescent="0.25">
      <c r="A4020" s="73"/>
      <c r="B4020" s="73"/>
    </row>
    <row r="4021" spans="1:2" x14ac:dyDescent="0.25">
      <c r="A4021" s="73"/>
      <c r="B4021" s="73"/>
    </row>
    <row r="4022" spans="1:2" x14ac:dyDescent="0.25">
      <c r="A4022" s="73"/>
      <c r="B4022" s="73"/>
    </row>
    <row r="4023" spans="1:2" x14ac:dyDescent="0.25">
      <c r="A4023" s="73"/>
      <c r="B4023" s="73"/>
    </row>
    <row r="4024" spans="1:2" x14ac:dyDescent="0.25">
      <c r="A4024" s="73"/>
      <c r="B4024" s="73"/>
    </row>
    <row r="4025" spans="1:2" x14ac:dyDescent="0.25">
      <c r="A4025" s="73"/>
      <c r="B4025" s="73"/>
    </row>
    <row r="4026" spans="1:2" x14ac:dyDescent="0.25">
      <c r="A4026" s="73"/>
      <c r="B4026" s="73"/>
    </row>
    <row r="4027" spans="1:2" x14ac:dyDescent="0.25">
      <c r="A4027" s="73"/>
      <c r="B4027" s="73"/>
    </row>
    <row r="4028" spans="1:2" x14ac:dyDescent="0.25">
      <c r="A4028" s="73"/>
      <c r="B4028" s="73"/>
    </row>
    <row r="4029" spans="1:2" x14ac:dyDescent="0.25">
      <c r="A4029" s="73"/>
      <c r="B4029" s="73"/>
    </row>
    <row r="4030" spans="1:2" x14ac:dyDescent="0.25">
      <c r="A4030" s="73"/>
      <c r="B4030" s="73"/>
    </row>
    <row r="4031" spans="1:2" x14ac:dyDescent="0.25">
      <c r="A4031" s="73"/>
      <c r="B4031" s="73"/>
    </row>
    <row r="4032" spans="1:2" x14ac:dyDescent="0.25">
      <c r="A4032" s="73"/>
      <c r="B4032" s="73"/>
    </row>
    <row r="4033" spans="1:2" x14ac:dyDescent="0.25">
      <c r="A4033" s="73"/>
      <c r="B4033" s="73"/>
    </row>
    <row r="4034" spans="1:2" x14ac:dyDescent="0.25">
      <c r="A4034" s="73"/>
      <c r="B4034" s="73"/>
    </row>
    <row r="4035" spans="1:2" x14ac:dyDescent="0.25">
      <c r="A4035" s="73"/>
      <c r="B4035" s="73"/>
    </row>
    <row r="4036" spans="1:2" x14ac:dyDescent="0.25">
      <c r="A4036" s="73"/>
      <c r="B4036" s="73"/>
    </row>
    <row r="4037" spans="1:2" x14ac:dyDescent="0.25">
      <c r="A4037" s="73"/>
      <c r="B4037" s="73"/>
    </row>
    <row r="4038" spans="1:2" x14ac:dyDescent="0.25">
      <c r="A4038" s="73"/>
      <c r="B4038" s="73"/>
    </row>
    <row r="4039" spans="1:2" x14ac:dyDescent="0.25">
      <c r="A4039" s="73"/>
      <c r="B4039" s="73"/>
    </row>
    <row r="4040" spans="1:2" x14ac:dyDescent="0.25">
      <c r="A4040" s="73"/>
      <c r="B4040" s="73"/>
    </row>
    <row r="4041" spans="1:2" x14ac:dyDescent="0.25">
      <c r="A4041" s="73"/>
      <c r="B4041" s="73"/>
    </row>
    <row r="4042" spans="1:2" x14ac:dyDescent="0.25">
      <c r="A4042" s="73"/>
      <c r="B4042" s="73"/>
    </row>
    <row r="4043" spans="1:2" x14ac:dyDescent="0.25">
      <c r="A4043" s="73"/>
      <c r="B4043" s="73"/>
    </row>
    <row r="4044" spans="1:2" x14ac:dyDescent="0.25">
      <c r="A4044" s="73"/>
      <c r="B4044" s="73"/>
    </row>
    <row r="4045" spans="1:2" x14ac:dyDescent="0.25">
      <c r="A4045" s="73"/>
      <c r="B4045" s="73"/>
    </row>
    <row r="4046" spans="1:2" x14ac:dyDescent="0.25">
      <c r="A4046" s="73"/>
      <c r="B4046" s="73"/>
    </row>
    <row r="4047" spans="1:2" x14ac:dyDescent="0.25">
      <c r="A4047" s="73"/>
      <c r="B4047" s="73"/>
    </row>
    <row r="4048" spans="1:2" x14ac:dyDescent="0.25">
      <c r="A4048" s="73"/>
      <c r="B4048" s="73"/>
    </row>
    <row r="4049" spans="1:2" x14ac:dyDescent="0.25">
      <c r="A4049" s="73"/>
      <c r="B4049" s="73"/>
    </row>
    <row r="4050" spans="1:2" x14ac:dyDescent="0.25">
      <c r="A4050" s="73"/>
      <c r="B4050" s="73"/>
    </row>
    <row r="4051" spans="1:2" x14ac:dyDescent="0.25">
      <c r="A4051" s="73"/>
      <c r="B4051" s="73"/>
    </row>
    <row r="4052" spans="1:2" x14ac:dyDescent="0.25">
      <c r="A4052" s="73"/>
      <c r="B4052" s="73"/>
    </row>
    <row r="4053" spans="1:2" x14ac:dyDescent="0.25">
      <c r="A4053" s="73"/>
      <c r="B4053" s="73"/>
    </row>
    <row r="4054" spans="1:2" x14ac:dyDescent="0.25">
      <c r="A4054" s="73"/>
      <c r="B4054" s="73"/>
    </row>
    <row r="4055" spans="1:2" x14ac:dyDescent="0.25">
      <c r="A4055" s="73"/>
      <c r="B4055" s="73"/>
    </row>
    <row r="4056" spans="1:2" x14ac:dyDescent="0.25">
      <c r="A4056" s="73"/>
      <c r="B4056" s="73"/>
    </row>
    <row r="4057" spans="1:2" x14ac:dyDescent="0.25">
      <c r="A4057" s="73"/>
      <c r="B4057" s="73"/>
    </row>
    <row r="4058" spans="1:2" x14ac:dyDescent="0.25">
      <c r="A4058" s="73"/>
      <c r="B4058" s="73"/>
    </row>
    <row r="4059" spans="1:2" x14ac:dyDescent="0.25">
      <c r="A4059" s="73"/>
      <c r="B4059" s="73"/>
    </row>
    <row r="4060" spans="1:2" x14ac:dyDescent="0.25">
      <c r="A4060" s="73"/>
      <c r="B4060" s="73"/>
    </row>
    <row r="4061" spans="1:2" x14ac:dyDescent="0.25">
      <c r="A4061" s="73"/>
      <c r="B4061" s="73"/>
    </row>
    <row r="4062" spans="1:2" x14ac:dyDescent="0.25">
      <c r="A4062" s="73"/>
      <c r="B4062" s="73"/>
    </row>
    <row r="4063" spans="1:2" x14ac:dyDescent="0.25">
      <c r="A4063" s="73"/>
      <c r="B4063" s="73"/>
    </row>
    <row r="4064" spans="1:2" x14ac:dyDescent="0.25">
      <c r="A4064" s="73"/>
      <c r="B4064" s="73"/>
    </row>
    <row r="4065" spans="1:2" x14ac:dyDescent="0.25">
      <c r="A4065" s="73"/>
      <c r="B4065" s="73"/>
    </row>
    <row r="4066" spans="1:2" x14ac:dyDescent="0.25">
      <c r="A4066" s="73"/>
      <c r="B4066" s="73"/>
    </row>
    <row r="4067" spans="1:2" x14ac:dyDescent="0.25">
      <c r="A4067" s="73"/>
      <c r="B4067" s="73"/>
    </row>
    <row r="4068" spans="1:2" x14ac:dyDescent="0.25">
      <c r="A4068" s="73"/>
      <c r="B4068" s="73"/>
    </row>
    <row r="4069" spans="1:2" x14ac:dyDescent="0.25">
      <c r="A4069" s="73"/>
      <c r="B4069" s="73"/>
    </row>
    <row r="4070" spans="1:2" x14ac:dyDescent="0.25">
      <c r="A4070" s="73"/>
      <c r="B4070" s="73"/>
    </row>
    <row r="4071" spans="1:2" x14ac:dyDescent="0.25">
      <c r="A4071" s="73"/>
      <c r="B4071" s="73"/>
    </row>
    <row r="4072" spans="1:2" x14ac:dyDescent="0.25">
      <c r="A4072" s="73"/>
      <c r="B4072" s="73"/>
    </row>
    <row r="4073" spans="1:2" x14ac:dyDescent="0.25">
      <c r="A4073" s="73"/>
      <c r="B4073" s="73"/>
    </row>
    <row r="4074" spans="1:2" x14ac:dyDescent="0.25">
      <c r="A4074" s="73"/>
      <c r="B4074" s="73"/>
    </row>
    <row r="4075" spans="1:2" x14ac:dyDescent="0.25">
      <c r="A4075" s="73"/>
      <c r="B4075" s="73"/>
    </row>
    <row r="4076" spans="1:2" x14ac:dyDescent="0.25">
      <c r="A4076" s="73"/>
      <c r="B4076" s="73"/>
    </row>
    <row r="4077" spans="1:2" x14ac:dyDescent="0.25">
      <c r="A4077" s="73"/>
      <c r="B4077" s="73"/>
    </row>
    <row r="4078" spans="1:2" x14ac:dyDescent="0.25">
      <c r="A4078" s="73"/>
      <c r="B4078" s="73"/>
    </row>
    <row r="4079" spans="1:2" x14ac:dyDescent="0.25">
      <c r="A4079" s="73"/>
      <c r="B4079" s="73"/>
    </row>
    <row r="4080" spans="1:2" x14ac:dyDescent="0.25">
      <c r="A4080" s="73"/>
      <c r="B4080" s="73"/>
    </row>
    <row r="4081" spans="1:2" x14ac:dyDescent="0.25">
      <c r="A4081" s="73"/>
      <c r="B4081" s="73"/>
    </row>
    <row r="4082" spans="1:2" x14ac:dyDescent="0.25">
      <c r="A4082" s="73"/>
      <c r="B4082" s="73"/>
    </row>
    <row r="4083" spans="1:2" x14ac:dyDescent="0.25">
      <c r="A4083" s="73"/>
      <c r="B4083" s="73"/>
    </row>
    <row r="4084" spans="1:2" x14ac:dyDescent="0.25">
      <c r="A4084" s="73"/>
      <c r="B4084" s="73"/>
    </row>
    <row r="4085" spans="1:2" x14ac:dyDescent="0.25">
      <c r="A4085" s="73"/>
      <c r="B4085" s="73"/>
    </row>
    <row r="4086" spans="1:2" x14ac:dyDescent="0.25">
      <c r="A4086" s="73"/>
      <c r="B4086" s="73"/>
    </row>
    <row r="4087" spans="1:2" x14ac:dyDescent="0.25">
      <c r="A4087" s="73"/>
      <c r="B4087" s="73"/>
    </row>
    <row r="4088" spans="1:2" x14ac:dyDescent="0.25">
      <c r="A4088" s="73"/>
      <c r="B4088" s="73"/>
    </row>
    <row r="4089" spans="1:2" x14ac:dyDescent="0.25">
      <c r="A4089" s="73"/>
      <c r="B4089" s="73"/>
    </row>
    <row r="4090" spans="1:2" x14ac:dyDescent="0.25">
      <c r="A4090" s="73"/>
      <c r="B4090" s="73"/>
    </row>
    <row r="4091" spans="1:2" x14ac:dyDescent="0.25">
      <c r="A4091" s="73"/>
      <c r="B4091" s="73"/>
    </row>
    <row r="4092" spans="1:2" x14ac:dyDescent="0.25">
      <c r="A4092" s="73"/>
      <c r="B4092" s="73"/>
    </row>
    <row r="4093" spans="1:2" x14ac:dyDescent="0.25">
      <c r="A4093" s="73"/>
      <c r="B4093" s="73"/>
    </row>
    <row r="4094" spans="1:2" x14ac:dyDescent="0.25">
      <c r="A4094" s="73"/>
      <c r="B4094" s="73"/>
    </row>
    <row r="4095" spans="1:2" x14ac:dyDescent="0.25">
      <c r="A4095" s="73"/>
      <c r="B4095" s="73"/>
    </row>
    <row r="4096" spans="1:2" x14ac:dyDescent="0.25">
      <c r="A4096" s="73"/>
      <c r="B4096" s="73"/>
    </row>
    <row r="4097" spans="1:2" x14ac:dyDescent="0.25">
      <c r="A4097" s="73"/>
      <c r="B4097" s="73"/>
    </row>
    <row r="4098" spans="1:2" x14ac:dyDescent="0.25">
      <c r="A4098" s="73"/>
      <c r="B4098" s="73"/>
    </row>
    <row r="4099" spans="1:2" x14ac:dyDescent="0.25">
      <c r="A4099" s="73"/>
      <c r="B4099" s="73"/>
    </row>
    <row r="4100" spans="1:2" x14ac:dyDescent="0.25">
      <c r="A4100" s="73"/>
      <c r="B4100" s="73"/>
    </row>
    <row r="4101" spans="1:2" x14ac:dyDescent="0.25">
      <c r="A4101" s="73"/>
      <c r="B4101" s="73"/>
    </row>
    <row r="4102" spans="1:2" x14ac:dyDescent="0.25">
      <c r="A4102" s="73"/>
      <c r="B4102" s="73"/>
    </row>
    <row r="4103" spans="1:2" x14ac:dyDescent="0.25">
      <c r="A4103" s="73"/>
      <c r="B4103" s="73"/>
    </row>
    <row r="4104" spans="1:2" x14ac:dyDescent="0.25">
      <c r="A4104" s="73"/>
      <c r="B4104" s="73"/>
    </row>
    <row r="4105" spans="1:2" x14ac:dyDescent="0.25">
      <c r="A4105" s="73"/>
      <c r="B4105" s="73"/>
    </row>
    <row r="4106" spans="1:2" x14ac:dyDescent="0.25">
      <c r="A4106" s="73"/>
      <c r="B4106" s="73"/>
    </row>
    <row r="4107" spans="1:2" x14ac:dyDescent="0.25">
      <c r="A4107" s="73"/>
      <c r="B4107" s="73"/>
    </row>
    <row r="4108" spans="1:2" x14ac:dyDescent="0.25">
      <c r="A4108" s="73"/>
      <c r="B4108" s="73"/>
    </row>
    <row r="4109" spans="1:2" x14ac:dyDescent="0.25">
      <c r="A4109" s="73"/>
      <c r="B4109" s="73"/>
    </row>
    <row r="4110" spans="1:2" x14ac:dyDescent="0.25">
      <c r="A4110" s="73"/>
      <c r="B4110" s="73"/>
    </row>
    <row r="4111" spans="1:2" x14ac:dyDescent="0.25">
      <c r="A4111" s="73"/>
      <c r="B4111" s="73"/>
    </row>
    <row r="4112" spans="1:2" x14ac:dyDescent="0.25">
      <c r="A4112" s="73"/>
      <c r="B4112" s="73"/>
    </row>
    <row r="4113" spans="1:2" x14ac:dyDescent="0.25">
      <c r="A4113" s="73"/>
      <c r="B4113" s="73"/>
    </row>
    <row r="4114" spans="1:2" x14ac:dyDescent="0.25">
      <c r="A4114" s="73"/>
      <c r="B4114" s="73"/>
    </row>
    <row r="4115" spans="1:2" x14ac:dyDescent="0.25">
      <c r="A4115" s="73"/>
      <c r="B4115" s="73"/>
    </row>
    <row r="4116" spans="1:2" x14ac:dyDescent="0.25">
      <c r="A4116" s="73"/>
      <c r="B4116" s="73"/>
    </row>
    <row r="4117" spans="1:2" x14ac:dyDescent="0.25">
      <c r="A4117" s="73"/>
      <c r="B4117" s="73"/>
    </row>
    <row r="4118" spans="1:2" x14ac:dyDescent="0.25">
      <c r="A4118" s="73"/>
      <c r="B4118" s="73"/>
    </row>
    <row r="4119" spans="1:2" x14ac:dyDescent="0.25">
      <c r="A4119" s="73"/>
      <c r="B4119" s="73"/>
    </row>
    <row r="4120" spans="1:2" x14ac:dyDescent="0.25">
      <c r="A4120" s="73"/>
      <c r="B4120" s="73"/>
    </row>
    <row r="4121" spans="1:2" x14ac:dyDescent="0.25">
      <c r="A4121" s="73"/>
      <c r="B4121" s="73"/>
    </row>
    <row r="4122" spans="1:2" x14ac:dyDescent="0.25">
      <c r="A4122" s="73"/>
      <c r="B4122" s="73"/>
    </row>
    <row r="4123" spans="1:2" x14ac:dyDescent="0.25">
      <c r="A4123" s="73"/>
      <c r="B4123" s="73"/>
    </row>
    <row r="4124" spans="1:2" x14ac:dyDescent="0.25">
      <c r="A4124" s="73"/>
      <c r="B4124" s="73"/>
    </row>
    <row r="4125" spans="1:2" x14ac:dyDescent="0.25">
      <c r="A4125" s="73"/>
      <c r="B4125" s="73"/>
    </row>
    <row r="4126" spans="1:2" x14ac:dyDescent="0.25">
      <c r="A4126" s="73"/>
      <c r="B4126" s="73"/>
    </row>
    <row r="4127" spans="1:2" x14ac:dyDescent="0.25">
      <c r="A4127" s="73"/>
      <c r="B4127" s="73"/>
    </row>
    <row r="4128" spans="1:2" x14ac:dyDescent="0.25">
      <c r="A4128" s="73"/>
      <c r="B4128" s="73"/>
    </row>
    <row r="4129" spans="1:2" x14ac:dyDescent="0.25">
      <c r="A4129" s="73"/>
      <c r="B4129" s="73"/>
    </row>
    <row r="4130" spans="1:2" x14ac:dyDescent="0.25">
      <c r="A4130" s="73"/>
      <c r="B4130" s="73"/>
    </row>
    <row r="4131" spans="1:2" x14ac:dyDescent="0.25">
      <c r="A4131" s="73"/>
      <c r="B4131" s="73"/>
    </row>
    <row r="4132" spans="1:2" x14ac:dyDescent="0.25">
      <c r="A4132" s="73"/>
      <c r="B4132" s="73"/>
    </row>
    <row r="4133" spans="1:2" x14ac:dyDescent="0.25">
      <c r="A4133" s="73"/>
      <c r="B4133" s="73"/>
    </row>
    <row r="4134" spans="1:2" x14ac:dyDescent="0.25">
      <c r="A4134" s="73"/>
      <c r="B4134" s="73"/>
    </row>
    <row r="4135" spans="1:2" x14ac:dyDescent="0.25">
      <c r="A4135" s="73"/>
      <c r="B4135" s="73"/>
    </row>
    <row r="4136" spans="1:2" x14ac:dyDescent="0.25">
      <c r="A4136" s="73"/>
      <c r="B4136" s="73"/>
    </row>
    <row r="4137" spans="1:2" x14ac:dyDescent="0.25">
      <c r="A4137" s="73"/>
      <c r="B4137" s="73"/>
    </row>
    <row r="4138" spans="1:2" x14ac:dyDescent="0.25">
      <c r="A4138" s="73"/>
      <c r="B4138" s="73"/>
    </row>
    <row r="4139" spans="1:2" x14ac:dyDescent="0.25">
      <c r="A4139" s="73"/>
      <c r="B4139" s="73"/>
    </row>
    <row r="4140" spans="1:2" x14ac:dyDescent="0.25">
      <c r="A4140" s="73"/>
      <c r="B4140" s="73"/>
    </row>
    <row r="4141" spans="1:2" x14ac:dyDescent="0.25">
      <c r="A4141" s="73"/>
      <c r="B4141" s="73"/>
    </row>
    <row r="4142" spans="1:2" x14ac:dyDescent="0.25">
      <c r="A4142" s="73"/>
      <c r="B4142" s="73"/>
    </row>
    <row r="4143" spans="1:2" x14ac:dyDescent="0.25">
      <c r="A4143" s="73"/>
      <c r="B4143" s="73"/>
    </row>
    <row r="4144" spans="1:2" x14ac:dyDescent="0.25">
      <c r="A4144" s="73"/>
      <c r="B4144" s="73"/>
    </row>
    <row r="4145" spans="1:2" x14ac:dyDescent="0.25">
      <c r="A4145" s="73"/>
      <c r="B4145" s="73"/>
    </row>
    <row r="4146" spans="1:2" x14ac:dyDescent="0.25">
      <c r="A4146" s="73"/>
      <c r="B4146" s="73"/>
    </row>
    <row r="4147" spans="1:2" x14ac:dyDescent="0.25">
      <c r="A4147" s="73"/>
      <c r="B4147" s="73"/>
    </row>
    <row r="4148" spans="1:2" x14ac:dyDescent="0.25">
      <c r="A4148" s="73"/>
      <c r="B4148" s="73"/>
    </row>
    <row r="4149" spans="1:2" x14ac:dyDescent="0.25">
      <c r="A4149" s="73"/>
      <c r="B4149" s="73"/>
    </row>
    <row r="4150" spans="1:2" x14ac:dyDescent="0.25">
      <c r="A4150" s="73"/>
      <c r="B4150" s="73"/>
    </row>
    <row r="4151" spans="1:2" x14ac:dyDescent="0.25">
      <c r="A4151" s="73"/>
      <c r="B4151" s="73"/>
    </row>
    <row r="4152" spans="1:2" x14ac:dyDescent="0.25">
      <c r="A4152" s="73"/>
      <c r="B4152" s="73"/>
    </row>
    <row r="4153" spans="1:2" x14ac:dyDescent="0.25">
      <c r="A4153" s="73"/>
      <c r="B4153" s="73"/>
    </row>
    <row r="4154" spans="1:2" x14ac:dyDescent="0.25">
      <c r="A4154" s="73"/>
      <c r="B4154" s="73"/>
    </row>
    <row r="4155" spans="1:2" x14ac:dyDescent="0.25">
      <c r="A4155" s="73"/>
      <c r="B4155" s="73"/>
    </row>
    <row r="4156" spans="1:2" x14ac:dyDescent="0.25">
      <c r="A4156" s="73"/>
      <c r="B4156" s="73"/>
    </row>
    <row r="4157" spans="1:2" x14ac:dyDescent="0.25">
      <c r="A4157" s="73"/>
      <c r="B4157" s="73"/>
    </row>
    <row r="4158" spans="1:2" x14ac:dyDescent="0.25">
      <c r="A4158" s="73"/>
      <c r="B4158" s="73"/>
    </row>
    <row r="4159" spans="1:2" x14ac:dyDescent="0.25">
      <c r="A4159" s="73"/>
      <c r="B4159" s="73"/>
    </row>
    <row r="4160" spans="1:2" x14ac:dyDescent="0.25">
      <c r="A4160" s="73"/>
      <c r="B4160" s="73"/>
    </row>
    <row r="4161" spans="1:2" x14ac:dyDescent="0.25">
      <c r="A4161" s="73"/>
      <c r="B4161" s="73"/>
    </row>
    <row r="4162" spans="1:2" x14ac:dyDescent="0.25">
      <c r="A4162" s="73"/>
      <c r="B4162" s="73"/>
    </row>
    <row r="4163" spans="1:2" x14ac:dyDescent="0.25">
      <c r="A4163" s="73"/>
      <c r="B4163" s="73"/>
    </row>
    <row r="4164" spans="1:2" x14ac:dyDescent="0.25">
      <c r="A4164" s="73"/>
      <c r="B4164" s="73"/>
    </row>
    <row r="4165" spans="1:2" x14ac:dyDescent="0.25">
      <c r="A4165" s="73"/>
      <c r="B4165" s="73"/>
    </row>
    <row r="4166" spans="1:2" x14ac:dyDescent="0.25">
      <c r="A4166" s="73"/>
      <c r="B4166" s="73"/>
    </row>
    <row r="4167" spans="1:2" x14ac:dyDescent="0.25">
      <c r="A4167" s="73"/>
      <c r="B4167" s="73"/>
    </row>
    <row r="4168" spans="1:2" x14ac:dyDescent="0.25">
      <c r="A4168" s="73"/>
      <c r="B4168" s="73"/>
    </row>
    <row r="4169" spans="1:2" x14ac:dyDescent="0.25">
      <c r="A4169" s="73"/>
      <c r="B4169" s="73"/>
    </row>
    <row r="4170" spans="1:2" x14ac:dyDescent="0.25">
      <c r="A4170" s="73"/>
      <c r="B4170" s="73"/>
    </row>
    <row r="4171" spans="1:2" x14ac:dyDescent="0.25">
      <c r="A4171" s="73"/>
      <c r="B4171" s="73"/>
    </row>
    <row r="4172" spans="1:2" x14ac:dyDescent="0.25">
      <c r="A4172" s="73"/>
      <c r="B4172" s="73"/>
    </row>
    <row r="4173" spans="1:2" x14ac:dyDescent="0.25">
      <c r="A4173" s="73"/>
      <c r="B4173" s="73"/>
    </row>
    <row r="4174" spans="1:2" x14ac:dyDescent="0.25">
      <c r="A4174" s="73"/>
      <c r="B4174" s="73"/>
    </row>
    <row r="4175" spans="1:2" x14ac:dyDescent="0.25">
      <c r="A4175" s="73"/>
      <c r="B4175" s="73"/>
    </row>
    <row r="4176" spans="1:2" x14ac:dyDescent="0.25">
      <c r="A4176" s="73"/>
      <c r="B4176" s="73"/>
    </row>
    <row r="4177" spans="1:2" x14ac:dyDescent="0.25">
      <c r="A4177" s="73"/>
      <c r="B4177" s="73"/>
    </row>
    <row r="4178" spans="1:2" x14ac:dyDescent="0.25">
      <c r="A4178" s="73"/>
      <c r="B4178" s="73"/>
    </row>
    <row r="4179" spans="1:2" x14ac:dyDescent="0.25">
      <c r="A4179" s="73"/>
      <c r="B4179" s="73"/>
    </row>
    <row r="4180" spans="1:2" x14ac:dyDescent="0.25">
      <c r="A4180" s="73"/>
      <c r="B4180" s="73"/>
    </row>
    <row r="4181" spans="1:2" x14ac:dyDescent="0.25">
      <c r="A4181" s="73"/>
      <c r="B4181" s="73"/>
    </row>
    <row r="4182" spans="1:2" x14ac:dyDescent="0.25">
      <c r="A4182" s="73"/>
      <c r="B4182" s="73"/>
    </row>
    <row r="4183" spans="1:2" x14ac:dyDescent="0.25">
      <c r="A4183" s="73"/>
      <c r="B4183" s="73"/>
    </row>
    <row r="4184" spans="1:2" x14ac:dyDescent="0.25">
      <c r="A4184" s="73"/>
      <c r="B4184" s="73"/>
    </row>
    <row r="4185" spans="1:2" x14ac:dyDescent="0.25">
      <c r="A4185" s="73"/>
      <c r="B4185" s="73"/>
    </row>
    <row r="4186" spans="1:2" x14ac:dyDescent="0.25">
      <c r="A4186" s="73"/>
      <c r="B4186" s="73"/>
    </row>
    <row r="4187" spans="1:2" x14ac:dyDescent="0.25">
      <c r="A4187" s="73"/>
      <c r="B4187" s="73"/>
    </row>
    <row r="4188" spans="1:2" x14ac:dyDescent="0.25">
      <c r="A4188" s="73"/>
      <c r="B4188" s="73"/>
    </row>
    <row r="4189" spans="1:2" x14ac:dyDescent="0.25">
      <c r="A4189" s="73"/>
      <c r="B4189" s="73"/>
    </row>
    <row r="4190" spans="1:2" x14ac:dyDescent="0.25">
      <c r="A4190" s="73"/>
      <c r="B4190" s="73"/>
    </row>
    <row r="4191" spans="1:2" x14ac:dyDescent="0.25">
      <c r="A4191" s="73"/>
      <c r="B4191" s="73"/>
    </row>
    <row r="4192" spans="1:2" x14ac:dyDescent="0.25">
      <c r="A4192" s="73"/>
      <c r="B4192" s="73"/>
    </row>
    <row r="4193" spans="1:2" x14ac:dyDescent="0.25">
      <c r="A4193" s="73"/>
      <c r="B4193" s="73"/>
    </row>
    <row r="4194" spans="1:2" x14ac:dyDescent="0.25">
      <c r="A4194" s="73"/>
      <c r="B4194" s="73"/>
    </row>
    <row r="4195" spans="1:2" x14ac:dyDescent="0.25">
      <c r="A4195" s="73"/>
      <c r="B4195" s="73"/>
    </row>
    <row r="4196" spans="1:2" x14ac:dyDescent="0.25">
      <c r="A4196" s="73"/>
      <c r="B4196" s="73"/>
    </row>
    <row r="4197" spans="1:2" x14ac:dyDescent="0.25">
      <c r="A4197" s="73"/>
      <c r="B4197" s="73"/>
    </row>
    <row r="4198" spans="1:2" x14ac:dyDescent="0.25">
      <c r="A4198" s="73"/>
      <c r="B4198" s="73"/>
    </row>
    <row r="4199" spans="1:2" x14ac:dyDescent="0.25">
      <c r="A4199" s="73"/>
      <c r="B4199" s="73"/>
    </row>
    <row r="4200" spans="1:2" x14ac:dyDescent="0.25">
      <c r="A4200" s="73"/>
      <c r="B4200" s="73"/>
    </row>
    <row r="4201" spans="1:2" x14ac:dyDescent="0.25">
      <c r="A4201" s="73"/>
      <c r="B4201" s="73"/>
    </row>
    <row r="4202" spans="1:2" x14ac:dyDescent="0.25">
      <c r="A4202" s="73"/>
      <c r="B4202" s="73"/>
    </row>
    <row r="4203" spans="1:2" x14ac:dyDescent="0.25">
      <c r="A4203" s="73"/>
      <c r="B4203" s="73"/>
    </row>
    <row r="4204" spans="1:2" x14ac:dyDescent="0.25">
      <c r="A4204" s="73"/>
      <c r="B4204" s="73"/>
    </row>
    <row r="4205" spans="1:2" x14ac:dyDescent="0.25">
      <c r="A4205" s="73"/>
      <c r="B4205" s="73"/>
    </row>
    <row r="4206" spans="1:2" x14ac:dyDescent="0.25">
      <c r="A4206" s="73"/>
      <c r="B4206" s="73"/>
    </row>
    <row r="4207" spans="1:2" x14ac:dyDescent="0.25">
      <c r="A4207" s="73"/>
      <c r="B4207" s="73"/>
    </row>
    <row r="4208" spans="1:2" x14ac:dyDescent="0.25">
      <c r="A4208" s="73"/>
      <c r="B4208" s="73"/>
    </row>
    <row r="4209" spans="1:2" x14ac:dyDescent="0.25">
      <c r="A4209" s="73"/>
      <c r="B4209" s="73"/>
    </row>
    <row r="4210" spans="1:2" x14ac:dyDescent="0.25">
      <c r="A4210" s="73"/>
      <c r="B4210" s="73"/>
    </row>
    <row r="4211" spans="1:2" x14ac:dyDescent="0.25">
      <c r="A4211" s="73"/>
      <c r="B4211" s="73"/>
    </row>
    <row r="4212" spans="1:2" x14ac:dyDescent="0.25">
      <c r="A4212" s="73"/>
      <c r="B4212" s="73"/>
    </row>
    <row r="4213" spans="1:2" x14ac:dyDescent="0.25">
      <c r="A4213" s="73"/>
      <c r="B4213" s="73"/>
    </row>
    <row r="4214" spans="1:2" x14ac:dyDescent="0.25">
      <c r="A4214" s="73"/>
      <c r="B4214" s="73"/>
    </row>
    <row r="4215" spans="1:2" x14ac:dyDescent="0.25">
      <c r="A4215" s="73"/>
      <c r="B4215" s="73"/>
    </row>
    <row r="4216" spans="1:2" x14ac:dyDescent="0.25">
      <c r="A4216" s="73"/>
      <c r="B4216" s="73"/>
    </row>
    <row r="4217" spans="1:2" x14ac:dyDescent="0.25">
      <c r="A4217" s="73"/>
      <c r="B4217" s="73"/>
    </row>
    <row r="4218" spans="1:2" x14ac:dyDescent="0.25">
      <c r="A4218" s="73"/>
      <c r="B4218" s="73"/>
    </row>
    <row r="4219" spans="1:2" x14ac:dyDescent="0.25">
      <c r="A4219" s="73"/>
      <c r="B4219" s="73"/>
    </row>
    <row r="4220" spans="1:2" x14ac:dyDescent="0.25">
      <c r="A4220" s="73"/>
      <c r="B4220" s="73"/>
    </row>
    <row r="4221" spans="1:2" x14ac:dyDescent="0.25">
      <c r="A4221" s="73"/>
      <c r="B4221" s="73"/>
    </row>
    <row r="4222" spans="1:2" x14ac:dyDescent="0.25">
      <c r="A4222" s="73"/>
      <c r="B4222" s="73"/>
    </row>
    <row r="4223" spans="1:2" x14ac:dyDescent="0.25">
      <c r="A4223" s="73"/>
      <c r="B4223" s="73"/>
    </row>
    <row r="4224" spans="1:2" x14ac:dyDescent="0.25">
      <c r="A4224" s="73"/>
      <c r="B4224" s="73"/>
    </row>
    <row r="4225" spans="1:2" x14ac:dyDescent="0.25">
      <c r="A4225" s="73"/>
      <c r="B4225" s="73"/>
    </row>
    <row r="4226" spans="1:2" x14ac:dyDescent="0.25">
      <c r="A4226" s="73"/>
      <c r="B4226" s="73"/>
    </row>
    <row r="4227" spans="1:2" x14ac:dyDescent="0.25">
      <c r="A4227" s="73"/>
      <c r="B4227" s="73"/>
    </row>
    <row r="4228" spans="1:2" x14ac:dyDescent="0.25">
      <c r="A4228" s="73"/>
      <c r="B4228" s="73"/>
    </row>
    <row r="4229" spans="1:2" x14ac:dyDescent="0.25">
      <c r="A4229" s="73"/>
      <c r="B4229" s="73"/>
    </row>
    <row r="4230" spans="1:2" x14ac:dyDescent="0.25">
      <c r="A4230" s="73"/>
      <c r="B4230" s="73"/>
    </row>
    <row r="4231" spans="1:2" x14ac:dyDescent="0.25">
      <c r="A4231" s="73"/>
      <c r="B4231" s="73"/>
    </row>
    <row r="4232" spans="1:2" x14ac:dyDescent="0.25">
      <c r="A4232" s="73"/>
      <c r="B4232" s="73"/>
    </row>
    <row r="4233" spans="1:2" x14ac:dyDescent="0.25">
      <c r="A4233" s="73"/>
      <c r="B4233" s="73"/>
    </row>
    <row r="4234" spans="1:2" x14ac:dyDescent="0.25">
      <c r="A4234" s="73"/>
      <c r="B4234" s="73"/>
    </row>
    <row r="4235" spans="1:2" x14ac:dyDescent="0.25">
      <c r="A4235" s="73"/>
      <c r="B4235" s="73"/>
    </row>
    <row r="4236" spans="1:2" x14ac:dyDescent="0.25">
      <c r="A4236" s="73"/>
      <c r="B4236" s="73"/>
    </row>
    <row r="4237" spans="1:2" x14ac:dyDescent="0.25">
      <c r="A4237" s="73"/>
      <c r="B4237" s="73"/>
    </row>
    <row r="4238" spans="1:2" x14ac:dyDescent="0.25">
      <c r="A4238" s="73"/>
      <c r="B4238" s="73"/>
    </row>
    <row r="4239" spans="1:2" x14ac:dyDescent="0.25">
      <c r="A4239" s="73"/>
      <c r="B4239" s="73"/>
    </row>
    <row r="4240" spans="1:2" x14ac:dyDescent="0.25">
      <c r="A4240" s="73"/>
      <c r="B4240" s="73"/>
    </row>
    <row r="4241" spans="1:2" x14ac:dyDescent="0.25">
      <c r="A4241" s="73"/>
      <c r="B4241" s="73"/>
    </row>
    <row r="4242" spans="1:2" x14ac:dyDescent="0.25">
      <c r="A4242" s="73"/>
      <c r="B4242" s="73"/>
    </row>
    <row r="4243" spans="1:2" x14ac:dyDescent="0.25">
      <c r="A4243" s="73"/>
      <c r="B4243" s="73"/>
    </row>
    <row r="4244" spans="1:2" x14ac:dyDescent="0.25">
      <c r="A4244" s="73"/>
      <c r="B4244" s="73"/>
    </row>
    <row r="4245" spans="1:2" x14ac:dyDescent="0.25">
      <c r="A4245" s="73"/>
      <c r="B4245" s="73"/>
    </row>
    <row r="4246" spans="1:2" x14ac:dyDescent="0.25">
      <c r="A4246" s="73"/>
      <c r="B4246" s="73"/>
    </row>
    <row r="4247" spans="1:2" x14ac:dyDescent="0.25">
      <c r="A4247" s="73"/>
      <c r="B4247" s="73"/>
    </row>
    <row r="4248" spans="1:2" x14ac:dyDescent="0.25">
      <c r="A4248" s="73"/>
      <c r="B4248" s="73"/>
    </row>
    <row r="4249" spans="1:2" x14ac:dyDescent="0.25">
      <c r="A4249" s="73"/>
      <c r="B4249" s="73"/>
    </row>
    <row r="4250" spans="1:2" x14ac:dyDescent="0.25">
      <c r="A4250" s="73"/>
      <c r="B4250" s="73"/>
    </row>
    <row r="4251" spans="1:2" x14ac:dyDescent="0.25">
      <c r="A4251" s="73"/>
      <c r="B4251" s="73"/>
    </row>
    <row r="4252" spans="1:2" x14ac:dyDescent="0.25">
      <c r="A4252" s="73"/>
      <c r="B4252" s="73"/>
    </row>
    <row r="4253" spans="1:2" x14ac:dyDescent="0.25">
      <c r="A4253" s="73"/>
      <c r="B4253" s="73"/>
    </row>
    <row r="4254" spans="1:2" x14ac:dyDescent="0.25">
      <c r="A4254" s="73"/>
      <c r="B4254" s="73"/>
    </row>
    <row r="4255" spans="1:2" x14ac:dyDescent="0.25">
      <c r="A4255" s="73"/>
      <c r="B4255" s="73"/>
    </row>
    <row r="4256" spans="1:2" x14ac:dyDescent="0.25">
      <c r="A4256" s="73"/>
      <c r="B4256" s="73"/>
    </row>
    <row r="4257" spans="1:2" x14ac:dyDescent="0.25">
      <c r="A4257" s="73"/>
      <c r="B4257" s="73"/>
    </row>
    <row r="4258" spans="1:2" x14ac:dyDescent="0.25">
      <c r="A4258" s="73"/>
      <c r="B4258" s="73"/>
    </row>
    <row r="4259" spans="1:2" x14ac:dyDescent="0.25">
      <c r="A4259" s="73"/>
      <c r="B4259" s="73"/>
    </row>
    <row r="4260" spans="1:2" x14ac:dyDescent="0.25">
      <c r="A4260" s="73"/>
      <c r="B4260" s="73"/>
    </row>
    <row r="4261" spans="1:2" x14ac:dyDescent="0.25">
      <c r="A4261" s="73"/>
      <c r="B4261" s="73"/>
    </row>
    <row r="4262" spans="1:2" x14ac:dyDescent="0.25">
      <c r="A4262" s="73"/>
      <c r="B4262" s="73"/>
    </row>
    <row r="4263" spans="1:2" x14ac:dyDescent="0.25">
      <c r="A4263" s="73"/>
      <c r="B4263" s="73"/>
    </row>
    <row r="4264" spans="1:2" x14ac:dyDescent="0.25">
      <c r="A4264" s="73"/>
      <c r="B4264" s="73"/>
    </row>
    <row r="4265" spans="1:2" x14ac:dyDescent="0.25">
      <c r="A4265" s="73"/>
      <c r="B4265" s="73"/>
    </row>
    <row r="4266" spans="1:2" x14ac:dyDescent="0.25">
      <c r="A4266" s="73"/>
      <c r="B4266" s="73"/>
    </row>
    <row r="4267" spans="1:2" x14ac:dyDescent="0.25">
      <c r="A4267" s="73"/>
      <c r="B4267" s="73"/>
    </row>
    <row r="4268" spans="1:2" x14ac:dyDescent="0.25">
      <c r="A4268" s="73"/>
      <c r="B4268" s="73"/>
    </row>
    <row r="4269" spans="1:2" x14ac:dyDescent="0.25">
      <c r="A4269" s="73"/>
      <c r="B4269" s="73"/>
    </row>
    <row r="4270" spans="1:2" x14ac:dyDescent="0.25">
      <c r="A4270" s="73"/>
      <c r="B4270" s="73"/>
    </row>
    <row r="4271" spans="1:2" x14ac:dyDescent="0.25">
      <c r="A4271" s="73"/>
      <c r="B4271" s="73"/>
    </row>
    <row r="4272" spans="1:2" x14ac:dyDescent="0.25">
      <c r="A4272" s="73"/>
      <c r="B4272" s="73"/>
    </row>
    <row r="4273" spans="1:2" x14ac:dyDescent="0.25">
      <c r="A4273" s="73"/>
      <c r="B4273" s="73"/>
    </row>
    <row r="4274" spans="1:2" x14ac:dyDescent="0.25">
      <c r="A4274" s="73"/>
      <c r="B4274" s="73"/>
    </row>
    <row r="4275" spans="1:2" x14ac:dyDescent="0.25">
      <c r="A4275" s="73"/>
      <c r="B4275" s="73"/>
    </row>
    <row r="4276" spans="1:2" x14ac:dyDescent="0.25">
      <c r="A4276" s="73"/>
      <c r="B4276" s="73"/>
    </row>
    <row r="4277" spans="1:2" x14ac:dyDescent="0.25">
      <c r="A4277" s="73"/>
      <c r="B4277" s="73"/>
    </row>
    <row r="4278" spans="1:2" x14ac:dyDescent="0.25">
      <c r="A4278" s="73"/>
      <c r="B4278" s="73"/>
    </row>
    <row r="4279" spans="1:2" x14ac:dyDescent="0.25">
      <c r="A4279" s="73"/>
      <c r="B4279" s="73"/>
    </row>
    <row r="4280" spans="1:2" x14ac:dyDescent="0.25">
      <c r="A4280" s="73"/>
      <c r="B4280" s="73"/>
    </row>
    <row r="4281" spans="1:2" x14ac:dyDescent="0.25">
      <c r="A4281" s="73"/>
      <c r="B4281" s="73"/>
    </row>
    <row r="4282" spans="1:2" x14ac:dyDescent="0.25">
      <c r="A4282" s="73"/>
      <c r="B4282" s="73"/>
    </row>
    <row r="4283" spans="1:2" x14ac:dyDescent="0.25">
      <c r="A4283" s="73"/>
      <c r="B4283" s="73"/>
    </row>
    <row r="4284" spans="1:2" x14ac:dyDescent="0.25">
      <c r="A4284" s="73"/>
      <c r="B4284" s="73"/>
    </row>
    <row r="4285" spans="1:2" x14ac:dyDescent="0.25">
      <c r="A4285" s="73"/>
      <c r="B4285" s="73"/>
    </row>
    <row r="4286" spans="1:2" x14ac:dyDescent="0.25">
      <c r="A4286" s="73"/>
      <c r="B4286" s="73"/>
    </row>
    <row r="4287" spans="1:2" x14ac:dyDescent="0.25">
      <c r="A4287" s="73"/>
      <c r="B4287" s="73"/>
    </row>
    <row r="4288" spans="1:2" x14ac:dyDescent="0.25">
      <c r="A4288" s="73"/>
      <c r="B4288" s="73"/>
    </row>
    <row r="4289" spans="1:2" x14ac:dyDescent="0.25">
      <c r="A4289" s="73"/>
      <c r="B4289" s="73"/>
    </row>
    <row r="4290" spans="1:2" x14ac:dyDescent="0.25">
      <c r="A4290" s="73"/>
      <c r="B4290" s="73"/>
    </row>
    <row r="4291" spans="1:2" x14ac:dyDescent="0.25">
      <c r="A4291" s="73"/>
      <c r="B4291" s="73"/>
    </row>
    <row r="4292" spans="1:2" x14ac:dyDescent="0.25">
      <c r="A4292" s="73"/>
      <c r="B4292" s="73"/>
    </row>
    <row r="4293" spans="1:2" x14ac:dyDescent="0.25">
      <c r="A4293" s="73"/>
      <c r="B4293" s="73"/>
    </row>
    <row r="4294" spans="1:2" x14ac:dyDescent="0.25">
      <c r="A4294" s="73"/>
      <c r="B4294" s="73"/>
    </row>
    <row r="4295" spans="1:2" x14ac:dyDescent="0.25">
      <c r="A4295" s="73"/>
      <c r="B4295" s="73"/>
    </row>
    <row r="4296" spans="1:2" x14ac:dyDescent="0.25">
      <c r="A4296" s="73"/>
      <c r="B4296" s="73"/>
    </row>
    <row r="4297" spans="1:2" x14ac:dyDescent="0.25">
      <c r="A4297" s="73"/>
      <c r="B4297" s="73"/>
    </row>
    <row r="4298" spans="1:2" x14ac:dyDescent="0.25">
      <c r="A4298" s="73"/>
      <c r="B4298" s="73"/>
    </row>
    <row r="4299" spans="1:2" x14ac:dyDescent="0.25">
      <c r="A4299" s="73"/>
      <c r="B4299" s="73"/>
    </row>
    <row r="4300" spans="1:2" x14ac:dyDescent="0.25">
      <c r="A4300" s="73"/>
      <c r="B4300" s="73"/>
    </row>
    <row r="4301" spans="1:2" x14ac:dyDescent="0.25">
      <c r="A4301" s="73"/>
      <c r="B4301" s="73"/>
    </row>
    <row r="4302" spans="1:2" x14ac:dyDescent="0.25">
      <c r="A4302" s="73"/>
      <c r="B4302" s="73"/>
    </row>
    <row r="4303" spans="1:2" x14ac:dyDescent="0.25">
      <c r="A4303" s="73"/>
      <c r="B4303" s="73"/>
    </row>
    <row r="4304" spans="1:2" x14ac:dyDescent="0.25">
      <c r="A4304" s="73"/>
      <c r="B4304" s="73"/>
    </row>
    <row r="4305" spans="1:2" x14ac:dyDescent="0.25">
      <c r="A4305" s="73"/>
      <c r="B4305" s="73"/>
    </row>
    <row r="4306" spans="1:2" x14ac:dyDescent="0.25">
      <c r="A4306" s="73"/>
      <c r="B4306" s="73"/>
    </row>
    <row r="4307" spans="1:2" x14ac:dyDescent="0.25">
      <c r="A4307" s="73"/>
      <c r="B4307" s="73"/>
    </row>
    <row r="4308" spans="1:2" x14ac:dyDescent="0.25">
      <c r="A4308" s="73"/>
      <c r="B4308" s="73"/>
    </row>
    <row r="4309" spans="1:2" x14ac:dyDescent="0.25">
      <c r="A4309" s="73"/>
      <c r="B4309" s="73"/>
    </row>
    <row r="4310" spans="1:2" x14ac:dyDescent="0.25">
      <c r="A4310" s="73"/>
      <c r="B4310" s="73"/>
    </row>
    <row r="4311" spans="1:2" x14ac:dyDescent="0.25">
      <c r="A4311" s="73"/>
      <c r="B4311" s="73"/>
    </row>
    <row r="4312" spans="1:2" x14ac:dyDescent="0.25">
      <c r="A4312" s="73"/>
      <c r="B4312" s="73"/>
    </row>
    <row r="4313" spans="1:2" x14ac:dyDescent="0.25">
      <c r="A4313" s="73"/>
      <c r="B4313" s="73"/>
    </row>
    <row r="4314" spans="1:2" x14ac:dyDescent="0.25">
      <c r="A4314" s="73"/>
      <c r="B4314" s="73"/>
    </row>
    <row r="4315" spans="1:2" x14ac:dyDescent="0.25">
      <c r="A4315" s="73"/>
      <c r="B4315" s="73"/>
    </row>
    <row r="4316" spans="1:2" x14ac:dyDescent="0.25">
      <c r="A4316" s="73"/>
      <c r="B4316" s="73"/>
    </row>
    <row r="4317" spans="1:2" x14ac:dyDescent="0.25">
      <c r="A4317" s="73"/>
      <c r="B4317" s="73"/>
    </row>
    <row r="4318" spans="1:2" x14ac:dyDescent="0.25">
      <c r="A4318" s="73"/>
      <c r="B4318" s="73"/>
    </row>
    <row r="4319" spans="1:2" x14ac:dyDescent="0.25">
      <c r="A4319" s="73"/>
      <c r="B4319" s="73"/>
    </row>
    <row r="4320" spans="1:2" x14ac:dyDescent="0.25">
      <c r="A4320" s="73"/>
      <c r="B4320" s="73"/>
    </row>
    <row r="4321" spans="1:2" x14ac:dyDescent="0.25">
      <c r="A4321" s="73"/>
      <c r="B4321" s="73"/>
    </row>
    <row r="4322" spans="1:2" x14ac:dyDescent="0.25">
      <c r="A4322" s="73"/>
      <c r="B4322" s="73"/>
    </row>
    <row r="4323" spans="1:2" x14ac:dyDescent="0.25">
      <c r="A4323" s="73"/>
      <c r="B4323" s="73"/>
    </row>
    <row r="4324" spans="1:2" x14ac:dyDescent="0.25">
      <c r="A4324" s="73"/>
      <c r="B4324" s="73"/>
    </row>
    <row r="4325" spans="1:2" x14ac:dyDescent="0.25">
      <c r="A4325" s="73"/>
      <c r="B4325" s="73"/>
    </row>
    <row r="4326" spans="1:2" x14ac:dyDescent="0.25">
      <c r="A4326" s="73"/>
      <c r="B4326" s="73"/>
    </row>
    <row r="4327" spans="1:2" x14ac:dyDescent="0.25">
      <c r="A4327" s="73"/>
      <c r="B4327" s="73"/>
    </row>
    <row r="4328" spans="1:2" x14ac:dyDescent="0.25">
      <c r="A4328" s="73"/>
      <c r="B4328" s="73"/>
    </row>
    <row r="4329" spans="1:2" x14ac:dyDescent="0.25">
      <c r="A4329" s="73"/>
      <c r="B4329" s="73"/>
    </row>
    <row r="4330" spans="1:2" x14ac:dyDescent="0.25">
      <c r="A4330" s="73"/>
      <c r="B4330" s="73"/>
    </row>
    <row r="4331" spans="1:2" x14ac:dyDescent="0.25">
      <c r="A4331" s="73"/>
      <c r="B4331" s="73"/>
    </row>
    <row r="4332" spans="1:2" x14ac:dyDescent="0.25">
      <c r="A4332" s="73"/>
      <c r="B4332" s="73"/>
    </row>
    <row r="4333" spans="1:2" x14ac:dyDescent="0.25">
      <c r="A4333" s="73"/>
      <c r="B4333" s="73"/>
    </row>
    <row r="4334" spans="1:2" x14ac:dyDescent="0.25">
      <c r="A4334" s="73"/>
      <c r="B4334" s="73"/>
    </row>
    <row r="4335" spans="1:2" x14ac:dyDescent="0.25">
      <c r="A4335" s="73"/>
      <c r="B4335" s="73"/>
    </row>
    <row r="4336" spans="1:2" x14ac:dyDescent="0.25">
      <c r="A4336" s="73"/>
      <c r="B4336" s="73"/>
    </row>
    <row r="4337" spans="1:2" x14ac:dyDescent="0.25">
      <c r="A4337" s="73"/>
      <c r="B4337" s="73"/>
    </row>
    <row r="4338" spans="1:2" x14ac:dyDescent="0.25">
      <c r="A4338" s="73"/>
      <c r="B4338" s="73"/>
    </row>
    <row r="4339" spans="1:2" x14ac:dyDescent="0.25">
      <c r="A4339" s="73"/>
      <c r="B4339" s="73"/>
    </row>
    <row r="4340" spans="1:2" x14ac:dyDescent="0.25">
      <c r="A4340" s="73"/>
      <c r="B4340" s="73"/>
    </row>
    <row r="4341" spans="1:2" x14ac:dyDescent="0.25">
      <c r="A4341" s="73"/>
      <c r="B4341" s="73"/>
    </row>
    <row r="4342" spans="1:2" x14ac:dyDescent="0.25">
      <c r="A4342" s="73"/>
      <c r="B4342" s="73"/>
    </row>
    <row r="4343" spans="1:2" x14ac:dyDescent="0.25">
      <c r="A4343" s="73"/>
      <c r="B4343" s="73"/>
    </row>
    <row r="4344" spans="1:2" x14ac:dyDescent="0.25">
      <c r="A4344" s="73"/>
      <c r="B4344" s="73"/>
    </row>
    <row r="4345" spans="1:2" x14ac:dyDescent="0.25">
      <c r="A4345" s="73"/>
      <c r="B4345" s="73"/>
    </row>
    <row r="4346" spans="1:2" x14ac:dyDescent="0.25">
      <c r="A4346" s="73"/>
      <c r="B4346" s="73"/>
    </row>
    <row r="4347" spans="1:2" x14ac:dyDescent="0.25">
      <c r="A4347" s="73"/>
      <c r="B4347" s="73"/>
    </row>
    <row r="4348" spans="1:2" x14ac:dyDescent="0.25">
      <c r="A4348" s="73"/>
      <c r="B4348" s="73"/>
    </row>
    <row r="4349" spans="1:2" x14ac:dyDescent="0.25">
      <c r="A4349" s="73"/>
      <c r="B4349" s="73"/>
    </row>
    <row r="4350" spans="1:2" x14ac:dyDescent="0.25">
      <c r="A4350" s="73"/>
      <c r="B4350" s="73"/>
    </row>
    <row r="4351" spans="1:2" x14ac:dyDescent="0.25">
      <c r="A4351" s="73"/>
      <c r="B4351" s="73"/>
    </row>
    <row r="4352" spans="1:2" x14ac:dyDescent="0.25">
      <c r="A4352" s="73"/>
      <c r="B4352" s="73"/>
    </row>
    <row r="4353" spans="1:2" x14ac:dyDescent="0.25">
      <c r="A4353" s="73"/>
      <c r="B4353" s="73"/>
    </row>
    <row r="4354" spans="1:2" x14ac:dyDescent="0.25">
      <c r="A4354" s="73"/>
      <c r="B4354" s="73"/>
    </row>
    <row r="4355" spans="1:2" x14ac:dyDescent="0.25">
      <c r="A4355" s="73"/>
      <c r="B4355" s="73"/>
    </row>
    <row r="4356" spans="1:2" x14ac:dyDescent="0.25">
      <c r="A4356" s="73"/>
      <c r="B4356" s="73"/>
    </row>
    <row r="4357" spans="1:2" x14ac:dyDescent="0.25">
      <c r="A4357" s="73"/>
      <c r="B4357" s="73"/>
    </row>
    <row r="4358" spans="1:2" x14ac:dyDescent="0.25">
      <c r="A4358" s="73"/>
      <c r="B4358" s="73"/>
    </row>
    <row r="4359" spans="1:2" x14ac:dyDescent="0.25">
      <c r="A4359" s="73"/>
      <c r="B4359" s="73"/>
    </row>
    <row r="4360" spans="1:2" x14ac:dyDescent="0.25">
      <c r="A4360" s="73"/>
      <c r="B4360" s="73"/>
    </row>
    <row r="4361" spans="1:2" x14ac:dyDescent="0.25">
      <c r="A4361" s="73"/>
      <c r="B4361" s="73"/>
    </row>
    <row r="4362" spans="1:2" x14ac:dyDescent="0.25">
      <c r="A4362" s="73"/>
      <c r="B4362" s="73"/>
    </row>
    <row r="4363" spans="1:2" x14ac:dyDescent="0.25">
      <c r="A4363" s="73"/>
      <c r="B4363" s="73"/>
    </row>
    <row r="4364" spans="1:2" x14ac:dyDescent="0.25">
      <c r="A4364" s="73"/>
      <c r="B4364" s="73"/>
    </row>
    <row r="4365" spans="1:2" x14ac:dyDescent="0.25">
      <c r="A4365" s="73"/>
      <c r="B4365" s="73"/>
    </row>
    <row r="4366" spans="1:2" x14ac:dyDescent="0.25">
      <c r="A4366" s="73"/>
      <c r="B4366" s="73"/>
    </row>
    <row r="4367" spans="1:2" x14ac:dyDescent="0.25">
      <c r="A4367" s="73"/>
      <c r="B4367" s="73"/>
    </row>
    <row r="4368" spans="1:2" x14ac:dyDescent="0.25">
      <c r="A4368" s="73"/>
      <c r="B4368" s="73"/>
    </row>
    <row r="4369" spans="1:2" x14ac:dyDescent="0.25">
      <c r="A4369" s="73"/>
      <c r="B4369" s="73"/>
    </row>
    <row r="4370" spans="1:2" x14ac:dyDescent="0.25">
      <c r="A4370" s="73"/>
      <c r="B4370" s="73"/>
    </row>
    <row r="4371" spans="1:2" x14ac:dyDescent="0.25">
      <c r="A4371" s="73"/>
      <c r="B4371" s="73"/>
    </row>
    <row r="4372" spans="1:2" x14ac:dyDescent="0.25">
      <c r="A4372" s="73"/>
      <c r="B4372" s="73"/>
    </row>
    <row r="4373" spans="1:2" x14ac:dyDescent="0.25">
      <c r="A4373" s="73"/>
      <c r="B4373" s="73"/>
    </row>
    <row r="4374" spans="1:2" x14ac:dyDescent="0.25">
      <c r="A4374" s="73"/>
      <c r="B4374" s="73"/>
    </row>
    <row r="4375" spans="1:2" x14ac:dyDescent="0.25">
      <c r="A4375" s="73"/>
      <c r="B4375" s="73"/>
    </row>
    <row r="4376" spans="1:2" x14ac:dyDescent="0.25">
      <c r="A4376" s="73"/>
      <c r="B4376" s="73"/>
    </row>
    <row r="4377" spans="1:2" x14ac:dyDescent="0.25">
      <c r="A4377" s="73"/>
      <c r="B4377" s="73"/>
    </row>
    <row r="4378" spans="1:2" x14ac:dyDescent="0.25">
      <c r="A4378" s="73"/>
      <c r="B4378" s="73"/>
    </row>
    <row r="4379" spans="1:2" x14ac:dyDescent="0.25">
      <c r="A4379" s="73"/>
      <c r="B4379" s="73"/>
    </row>
    <row r="4380" spans="1:2" x14ac:dyDescent="0.25">
      <c r="A4380" s="73"/>
      <c r="B4380" s="73"/>
    </row>
    <row r="4381" spans="1:2" x14ac:dyDescent="0.25">
      <c r="A4381" s="73"/>
      <c r="B4381" s="73"/>
    </row>
    <row r="4382" spans="1:2" x14ac:dyDescent="0.25">
      <c r="A4382" s="73"/>
      <c r="B4382" s="73"/>
    </row>
    <row r="4383" spans="1:2" x14ac:dyDescent="0.25">
      <c r="A4383" s="73"/>
      <c r="B4383" s="73"/>
    </row>
    <row r="4384" spans="1:2" x14ac:dyDescent="0.25">
      <c r="A4384" s="73"/>
      <c r="B4384" s="73"/>
    </row>
    <row r="4385" spans="1:2" x14ac:dyDescent="0.25">
      <c r="A4385" s="73"/>
      <c r="B4385" s="73"/>
    </row>
    <row r="4386" spans="1:2" x14ac:dyDescent="0.25">
      <c r="A4386" s="73"/>
      <c r="B4386" s="73"/>
    </row>
    <row r="4387" spans="1:2" x14ac:dyDescent="0.25">
      <c r="A4387" s="73"/>
      <c r="B4387" s="73"/>
    </row>
    <row r="4388" spans="1:2" x14ac:dyDescent="0.25">
      <c r="A4388" s="73"/>
      <c r="B4388" s="73"/>
    </row>
    <row r="4389" spans="1:2" x14ac:dyDescent="0.25">
      <c r="A4389" s="73"/>
      <c r="B4389" s="73"/>
    </row>
    <row r="4390" spans="1:2" x14ac:dyDescent="0.25">
      <c r="A4390" s="73"/>
      <c r="B4390" s="73"/>
    </row>
    <row r="4391" spans="1:2" x14ac:dyDescent="0.25">
      <c r="A4391" s="73"/>
      <c r="B4391" s="73"/>
    </row>
    <row r="4392" spans="1:2" x14ac:dyDescent="0.25">
      <c r="A4392" s="73"/>
      <c r="B4392" s="73"/>
    </row>
    <row r="4393" spans="1:2" x14ac:dyDescent="0.25">
      <c r="A4393" s="73"/>
      <c r="B4393" s="73"/>
    </row>
    <row r="4394" spans="1:2" x14ac:dyDescent="0.25">
      <c r="A4394" s="73"/>
      <c r="B4394" s="73"/>
    </row>
    <row r="4395" spans="1:2" x14ac:dyDescent="0.25">
      <c r="A4395" s="73"/>
      <c r="B4395" s="73"/>
    </row>
    <row r="4396" spans="1:2" x14ac:dyDescent="0.25">
      <c r="A4396" s="73"/>
      <c r="B4396" s="73"/>
    </row>
    <row r="4397" spans="1:2" x14ac:dyDescent="0.25">
      <c r="A4397" s="73"/>
      <c r="B4397" s="73"/>
    </row>
    <row r="4398" spans="1:2" x14ac:dyDescent="0.25">
      <c r="A4398" s="73"/>
      <c r="B4398" s="73"/>
    </row>
    <row r="4399" spans="1:2" x14ac:dyDescent="0.25">
      <c r="A4399" s="73"/>
      <c r="B4399" s="73"/>
    </row>
    <row r="4400" spans="1:2" x14ac:dyDescent="0.25">
      <c r="A4400" s="73"/>
      <c r="B4400" s="73"/>
    </row>
    <row r="4401" spans="1:2" x14ac:dyDescent="0.25">
      <c r="A4401" s="73"/>
      <c r="B4401" s="73"/>
    </row>
    <row r="4402" spans="1:2" x14ac:dyDescent="0.25">
      <c r="A4402" s="73"/>
      <c r="B4402" s="73"/>
    </row>
    <row r="4403" spans="1:2" x14ac:dyDescent="0.25">
      <c r="A4403" s="73"/>
      <c r="B4403" s="73"/>
    </row>
    <row r="4404" spans="1:2" x14ac:dyDescent="0.25">
      <c r="A4404" s="73"/>
      <c r="B4404" s="73"/>
    </row>
    <row r="4405" spans="1:2" x14ac:dyDescent="0.25">
      <c r="A4405" s="73"/>
      <c r="B4405" s="73"/>
    </row>
    <row r="4406" spans="1:2" x14ac:dyDescent="0.25">
      <c r="A4406" s="73"/>
      <c r="B4406" s="73"/>
    </row>
    <row r="4407" spans="1:2" x14ac:dyDescent="0.25">
      <c r="A4407" s="73"/>
      <c r="B4407" s="73"/>
    </row>
    <row r="4408" spans="1:2" x14ac:dyDescent="0.25">
      <c r="A4408" s="73"/>
      <c r="B4408" s="73"/>
    </row>
    <row r="4409" spans="1:2" x14ac:dyDescent="0.25">
      <c r="A4409" s="73"/>
      <c r="B4409" s="73"/>
    </row>
    <row r="4410" spans="1:2" x14ac:dyDescent="0.25">
      <c r="A4410" s="73"/>
      <c r="B4410" s="73"/>
    </row>
    <row r="4411" spans="1:2" x14ac:dyDescent="0.25">
      <c r="A4411" s="73"/>
      <c r="B4411" s="73"/>
    </row>
    <row r="4412" spans="1:2" x14ac:dyDescent="0.25">
      <c r="A4412" s="73"/>
      <c r="B4412" s="73"/>
    </row>
    <row r="4413" spans="1:2" x14ac:dyDescent="0.25">
      <c r="A4413" s="73"/>
      <c r="B4413" s="73"/>
    </row>
    <row r="4414" spans="1:2" x14ac:dyDescent="0.25">
      <c r="A4414" s="73"/>
      <c r="B4414" s="73"/>
    </row>
    <row r="4415" spans="1:2" x14ac:dyDescent="0.25">
      <c r="A4415" s="73"/>
      <c r="B4415" s="73"/>
    </row>
    <row r="4416" spans="1:2" x14ac:dyDescent="0.25">
      <c r="A4416" s="73"/>
      <c r="B4416" s="73"/>
    </row>
    <row r="4417" spans="1:2" x14ac:dyDescent="0.25">
      <c r="A4417" s="73"/>
      <c r="B4417" s="73"/>
    </row>
    <row r="4418" spans="1:2" x14ac:dyDescent="0.25">
      <c r="A4418" s="73"/>
      <c r="B4418" s="73"/>
    </row>
    <row r="4419" spans="1:2" x14ac:dyDescent="0.25">
      <c r="A4419" s="73"/>
      <c r="B4419" s="73"/>
    </row>
    <row r="4420" spans="1:2" x14ac:dyDescent="0.25">
      <c r="A4420" s="73"/>
      <c r="B4420" s="73"/>
    </row>
    <row r="4421" spans="1:2" x14ac:dyDescent="0.25">
      <c r="A4421" s="73"/>
      <c r="B4421" s="73"/>
    </row>
    <row r="4422" spans="1:2" x14ac:dyDescent="0.25">
      <c r="A4422" s="73"/>
      <c r="B4422" s="73"/>
    </row>
    <row r="4423" spans="1:2" x14ac:dyDescent="0.25">
      <c r="A4423" s="73"/>
      <c r="B4423" s="73"/>
    </row>
    <row r="4424" spans="1:2" x14ac:dyDescent="0.25">
      <c r="A4424" s="73"/>
      <c r="B4424" s="73"/>
    </row>
    <row r="4425" spans="1:2" x14ac:dyDescent="0.25">
      <c r="A4425" s="73"/>
      <c r="B4425" s="73"/>
    </row>
    <row r="4426" spans="1:2" x14ac:dyDescent="0.25">
      <c r="A4426" s="73"/>
      <c r="B4426" s="73"/>
    </row>
    <row r="4427" spans="1:2" x14ac:dyDescent="0.25">
      <c r="A4427" s="73"/>
      <c r="B4427" s="73"/>
    </row>
    <row r="4428" spans="1:2" x14ac:dyDescent="0.25">
      <c r="A4428" s="73"/>
      <c r="B4428" s="73"/>
    </row>
    <row r="4429" spans="1:2" x14ac:dyDescent="0.25">
      <c r="A4429" s="73"/>
      <c r="B4429" s="73"/>
    </row>
    <row r="4430" spans="1:2" x14ac:dyDescent="0.25">
      <c r="A4430" s="73"/>
      <c r="B4430" s="73"/>
    </row>
    <row r="4431" spans="1:2" x14ac:dyDescent="0.25">
      <c r="A4431" s="73"/>
      <c r="B4431" s="73"/>
    </row>
    <row r="4432" spans="1:2" x14ac:dyDescent="0.25">
      <c r="A4432" s="73"/>
      <c r="B4432" s="73"/>
    </row>
    <row r="4433" spans="1:2" x14ac:dyDescent="0.25">
      <c r="A4433" s="73"/>
      <c r="B4433" s="73"/>
    </row>
    <row r="4434" spans="1:2" x14ac:dyDescent="0.25">
      <c r="A4434" s="73"/>
      <c r="B4434" s="73"/>
    </row>
    <row r="4435" spans="1:2" x14ac:dyDescent="0.25">
      <c r="A4435" s="73"/>
      <c r="B4435" s="73"/>
    </row>
    <row r="4436" spans="1:2" x14ac:dyDescent="0.25">
      <c r="A4436" s="73"/>
      <c r="B4436" s="73"/>
    </row>
    <row r="4437" spans="1:2" x14ac:dyDescent="0.25">
      <c r="A4437" s="73"/>
      <c r="B4437" s="73"/>
    </row>
    <row r="4438" spans="1:2" x14ac:dyDescent="0.25">
      <c r="A4438" s="73"/>
      <c r="B4438" s="73"/>
    </row>
    <row r="4439" spans="1:2" x14ac:dyDescent="0.25">
      <c r="A4439" s="73"/>
      <c r="B4439" s="73"/>
    </row>
    <row r="4440" spans="1:2" x14ac:dyDescent="0.25">
      <c r="A4440" s="73"/>
      <c r="B4440" s="73"/>
    </row>
    <row r="4441" spans="1:2" x14ac:dyDescent="0.25">
      <c r="A4441" s="73"/>
      <c r="B4441" s="73"/>
    </row>
    <row r="4442" spans="1:2" x14ac:dyDescent="0.25">
      <c r="A4442" s="73"/>
      <c r="B4442" s="73"/>
    </row>
    <row r="4443" spans="1:2" x14ac:dyDescent="0.25">
      <c r="A4443" s="73"/>
      <c r="B4443" s="73"/>
    </row>
    <row r="4444" spans="1:2" x14ac:dyDescent="0.25">
      <c r="A4444" s="73"/>
      <c r="B4444" s="73"/>
    </row>
    <row r="4445" spans="1:2" x14ac:dyDescent="0.25">
      <c r="A4445" s="73"/>
      <c r="B4445" s="73"/>
    </row>
    <row r="4446" spans="1:2" x14ac:dyDescent="0.25">
      <c r="A4446" s="73"/>
      <c r="B4446" s="73"/>
    </row>
    <row r="4447" spans="1:2" x14ac:dyDescent="0.25">
      <c r="A4447" s="73"/>
      <c r="B4447" s="73"/>
    </row>
    <row r="4448" spans="1:2" x14ac:dyDescent="0.25">
      <c r="A4448" s="73"/>
      <c r="B4448" s="73"/>
    </row>
    <row r="4449" spans="1:2" x14ac:dyDescent="0.25">
      <c r="A4449" s="73"/>
      <c r="B4449" s="73"/>
    </row>
    <row r="4450" spans="1:2" x14ac:dyDescent="0.25">
      <c r="A4450" s="73"/>
      <c r="B4450" s="73"/>
    </row>
    <row r="4451" spans="1:2" x14ac:dyDescent="0.25">
      <c r="A4451" s="73"/>
      <c r="B4451" s="73"/>
    </row>
    <row r="4452" spans="1:2" x14ac:dyDescent="0.25">
      <c r="A4452" s="73"/>
      <c r="B4452" s="73"/>
    </row>
    <row r="4453" spans="1:2" x14ac:dyDescent="0.25">
      <c r="A4453" s="73"/>
      <c r="B4453" s="73"/>
    </row>
    <row r="4454" spans="1:2" x14ac:dyDescent="0.25">
      <c r="A4454" s="73"/>
      <c r="B4454" s="73"/>
    </row>
    <row r="4455" spans="1:2" x14ac:dyDescent="0.25">
      <c r="A4455" s="73"/>
      <c r="B4455" s="73"/>
    </row>
    <row r="4456" spans="1:2" x14ac:dyDescent="0.25">
      <c r="A4456" s="73"/>
      <c r="B4456" s="73"/>
    </row>
    <row r="4457" spans="1:2" x14ac:dyDescent="0.25">
      <c r="A4457" s="73"/>
      <c r="B4457" s="73"/>
    </row>
    <row r="4458" spans="1:2" x14ac:dyDescent="0.25">
      <c r="A4458" s="73"/>
      <c r="B4458" s="73"/>
    </row>
    <row r="4459" spans="1:2" x14ac:dyDescent="0.25">
      <c r="A4459" s="73"/>
      <c r="B4459" s="73"/>
    </row>
    <row r="4460" spans="1:2" x14ac:dyDescent="0.25">
      <c r="A4460" s="73"/>
      <c r="B4460" s="73"/>
    </row>
    <row r="4461" spans="1:2" x14ac:dyDescent="0.25">
      <c r="A4461" s="73"/>
      <c r="B4461" s="73"/>
    </row>
    <row r="4462" spans="1:2" x14ac:dyDescent="0.25">
      <c r="A4462" s="73"/>
      <c r="B4462" s="73"/>
    </row>
    <row r="4463" spans="1:2" x14ac:dyDescent="0.25">
      <c r="A4463" s="73"/>
      <c r="B4463" s="73"/>
    </row>
    <row r="4464" spans="1:2" x14ac:dyDescent="0.25">
      <c r="A4464" s="73"/>
      <c r="B4464" s="73"/>
    </row>
    <row r="4465" spans="1:2" x14ac:dyDescent="0.25">
      <c r="A4465" s="73"/>
      <c r="B4465" s="73"/>
    </row>
    <row r="4466" spans="1:2" x14ac:dyDescent="0.25">
      <c r="A4466" s="73"/>
      <c r="B4466" s="73"/>
    </row>
    <row r="4467" spans="1:2" x14ac:dyDescent="0.25">
      <c r="A4467" s="73"/>
      <c r="B4467" s="73"/>
    </row>
    <row r="4468" spans="1:2" x14ac:dyDescent="0.25">
      <c r="A4468" s="73"/>
      <c r="B4468" s="73"/>
    </row>
    <row r="4469" spans="1:2" x14ac:dyDescent="0.25">
      <c r="A4469" s="73"/>
      <c r="B4469" s="73"/>
    </row>
    <row r="4470" spans="1:2" x14ac:dyDescent="0.25">
      <c r="A4470" s="73"/>
      <c r="B4470" s="73"/>
    </row>
    <row r="4471" spans="1:2" x14ac:dyDescent="0.25">
      <c r="A4471" s="73"/>
      <c r="B4471" s="73"/>
    </row>
    <row r="4472" spans="1:2" x14ac:dyDescent="0.25">
      <c r="A4472" s="73"/>
      <c r="B4472" s="73"/>
    </row>
    <row r="4473" spans="1:2" x14ac:dyDescent="0.25">
      <c r="A4473" s="73"/>
      <c r="B4473" s="73"/>
    </row>
    <row r="4474" spans="1:2" x14ac:dyDescent="0.25">
      <c r="A4474" s="73"/>
      <c r="B4474" s="73"/>
    </row>
    <row r="4475" spans="1:2" x14ac:dyDescent="0.25">
      <c r="A4475" s="73"/>
      <c r="B4475" s="73"/>
    </row>
    <row r="4476" spans="1:2" x14ac:dyDescent="0.25">
      <c r="A4476" s="73"/>
      <c r="B4476" s="73"/>
    </row>
    <row r="4477" spans="1:2" x14ac:dyDescent="0.25">
      <c r="A4477" s="73"/>
      <c r="B4477" s="73"/>
    </row>
    <row r="4478" spans="1:2" x14ac:dyDescent="0.25">
      <c r="A4478" s="73"/>
      <c r="B4478" s="73"/>
    </row>
    <row r="4479" spans="1:2" x14ac:dyDescent="0.25">
      <c r="A4479" s="73"/>
      <c r="B4479" s="73"/>
    </row>
    <row r="4480" spans="1:2" x14ac:dyDescent="0.25">
      <c r="A4480" s="73"/>
      <c r="B4480" s="73"/>
    </row>
    <row r="4481" spans="1:2" x14ac:dyDescent="0.25">
      <c r="A4481" s="73"/>
      <c r="B4481" s="73"/>
    </row>
    <row r="4482" spans="1:2" x14ac:dyDescent="0.25">
      <c r="A4482" s="73"/>
      <c r="B4482" s="73"/>
    </row>
    <row r="4483" spans="1:2" x14ac:dyDescent="0.25">
      <c r="A4483" s="73"/>
      <c r="B4483" s="73"/>
    </row>
    <row r="4484" spans="1:2" x14ac:dyDescent="0.25">
      <c r="A4484" s="73"/>
      <c r="B4484" s="73"/>
    </row>
    <row r="4485" spans="1:2" x14ac:dyDescent="0.25">
      <c r="A4485" s="73"/>
      <c r="B4485" s="73"/>
    </row>
    <row r="4486" spans="1:2" x14ac:dyDescent="0.25">
      <c r="A4486" s="73"/>
      <c r="B4486" s="73"/>
    </row>
    <row r="4487" spans="1:2" x14ac:dyDescent="0.25">
      <c r="A4487" s="73"/>
      <c r="B4487" s="73"/>
    </row>
    <row r="4488" spans="1:2" x14ac:dyDescent="0.25">
      <c r="A4488" s="73"/>
      <c r="B4488" s="73"/>
    </row>
    <row r="4489" spans="1:2" x14ac:dyDescent="0.25">
      <c r="A4489" s="73"/>
      <c r="B4489" s="73"/>
    </row>
    <row r="4490" spans="1:2" x14ac:dyDescent="0.25">
      <c r="A4490" s="73"/>
      <c r="B4490" s="73"/>
    </row>
    <row r="4491" spans="1:2" x14ac:dyDescent="0.25">
      <c r="A4491" s="73"/>
      <c r="B4491" s="73"/>
    </row>
    <row r="4492" spans="1:2" x14ac:dyDescent="0.25">
      <c r="A4492" s="73"/>
      <c r="B4492" s="73"/>
    </row>
    <row r="4493" spans="1:2" x14ac:dyDescent="0.25">
      <c r="A4493" s="73"/>
      <c r="B4493" s="73"/>
    </row>
    <row r="4494" spans="1:2" x14ac:dyDescent="0.25">
      <c r="A4494" s="73"/>
      <c r="B4494" s="73"/>
    </row>
    <row r="4495" spans="1:2" x14ac:dyDescent="0.25">
      <c r="A4495" s="73"/>
      <c r="B4495" s="73"/>
    </row>
    <row r="4496" spans="1:2" x14ac:dyDescent="0.25">
      <c r="A4496" s="73"/>
      <c r="B4496" s="73"/>
    </row>
    <row r="4497" spans="1:2" x14ac:dyDescent="0.25">
      <c r="A4497" s="73"/>
      <c r="B4497" s="73"/>
    </row>
    <row r="4498" spans="1:2" x14ac:dyDescent="0.25">
      <c r="A4498" s="73"/>
      <c r="B4498" s="73"/>
    </row>
    <row r="4499" spans="1:2" x14ac:dyDescent="0.25">
      <c r="A4499" s="73"/>
      <c r="B4499" s="73"/>
    </row>
    <row r="4500" spans="1:2" x14ac:dyDescent="0.25">
      <c r="A4500" s="73"/>
      <c r="B4500" s="73"/>
    </row>
    <row r="4501" spans="1:2" x14ac:dyDescent="0.25">
      <c r="A4501" s="73"/>
      <c r="B4501" s="73"/>
    </row>
    <row r="4502" spans="1:2" x14ac:dyDescent="0.25">
      <c r="A4502" s="73"/>
      <c r="B4502" s="73"/>
    </row>
    <row r="4503" spans="1:2" x14ac:dyDescent="0.25">
      <c r="A4503" s="73"/>
      <c r="B4503" s="73"/>
    </row>
    <row r="4504" spans="1:2" x14ac:dyDescent="0.25">
      <c r="A4504" s="73"/>
      <c r="B4504" s="73"/>
    </row>
    <row r="4505" spans="1:2" x14ac:dyDescent="0.25">
      <c r="A4505" s="73"/>
      <c r="B4505" s="73"/>
    </row>
    <row r="4506" spans="1:2" x14ac:dyDescent="0.25">
      <c r="A4506" s="73"/>
      <c r="B4506" s="73"/>
    </row>
    <row r="4507" spans="1:2" x14ac:dyDescent="0.25">
      <c r="A4507" s="73"/>
      <c r="B4507" s="73"/>
    </row>
    <row r="4508" spans="1:2" x14ac:dyDescent="0.25">
      <c r="A4508" s="73"/>
      <c r="B4508" s="73"/>
    </row>
    <row r="4509" spans="1:2" x14ac:dyDescent="0.25">
      <c r="A4509" s="73"/>
      <c r="B4509" s="73"/>
    </row>
    <row r="4510" spans="1:2" x14ac:dyDescent="0.25">
      <c r="A4510" s="73"/>
      <c r="B4510" s="73"/>
    </row>
    <row r="4511" spans="1:2" x14ac:dyDescent="0.25">
      <c r="A4511" s="73"/>
      <c r="B4511" s="73"/>
    </row>
    <row r="4512" spans="1:2" x14ac:dyDescent="0.25">
      <c r="A4512" s="73"/>
      <c r="B4512" s="73"/>
    </row>
    <row r="4513" spans="1:2" x14ac:dyDescent="0.25">
      <c r="A4513" s="73"/>
      <c r="B4513" s="73"/>
    </row>
    <row r="4514" spans="1:2" x14ac:dyDescent="0.25">
      <c r="A4514" s="73"/>
      <c r="B4514" s="73"/>
    </row>
    <row r="4515" spans="1:2" x14ac:dyDescent="0.25">
      <c r="A4515" s="73"/>
      <c r="B4515" s="73"/>
    </row>
    <row r="4516" spans="1:2" x14ac:dyDescent="0.25">
      <c r="A4516" s="73"/>
      <c r="B4516" s="73"/>
    </row>
    <row r="4517" spans="1:2" x14ac:dyDescent="0.25">
      <c r="A4517" s="73"/>
      <c r="B4517" s="73"/>
    </row>
    <row r="4518" spans="1:2" x14ac:dyDescent="0.25">
      <c r="A4518" s="73"/>
      <c r="B4518" s="73"/>
    </row>
    <row r="4519" spans="1:2" x14ac:dyDescent="0.25">
      <c r="A4519" s="73"/>
      <c r="B4519" s="73"/>
    </row>
    <row r="4520" spans="1:2" x14ac:dyDescent="0.25">
      <c r="A4520" s="73"/>
      <c r="B4520" s="73"/>
    </row>
    <row r="4521" spans="1:2" x14ac:dyDescent="0.25">
      <c r="A4521" s="73"/>
      <c r="B4521" s="73"/>
    </row>
    <row r="4522" spans="1:2" x14ac:dyDescent="0.25">
      <c r="A4522" s="73"/>
      <c r="B4522" s="73"/>
    </row>
    <row r="4523" spans="1:2" x14ac:dyDescent="0.25">
      <c r="A4523" s="73"/>
      <c r="B4523" s="73"/>
    </row>
    <row r="4524" spans="1:2" x14ac:dyDescent="0.25">
      <c r="A4524" s="73"/>
      <c r="B4524" s="73"/>
    </row>
    <row r="4525" spans="1:2" x14ac:dyDescent="0.25">
      <c r="A4525" s="73"/>
      <c r="B4525" s="73"/>
    </row>
    <row r="4526" spans="1:2" x14ac:dyDescent="0.25">
      <c r="A4526" s="73"/>
      <c r="B4526" s="73"/>
    </row>
    <row r="4527" spans="1:2" x14ac:dyDescent="0.25">
      <c r="A4527" s="73"/>
      <c r="B4527" s="73"/>
    </row>
    <row r="4528" spans="1:2" x14ac:dyDescent="0.25">
      <c r="A4528" s="73"/>
      <c r="B4528" s="73"/>
    </row>
    <row r="4529" spans="1:2" x14ac:dyDescent="0.25">
      <c r="A4529" s="73"/>
      <c r="B4529" s="73"/>
    </row>
    <row r="4530" spans="1:2" x14ac:dyDescent="0.25">
      <c r="A4530" s="73"/>
      <c r="B4530" s="73"/>
    </row>
    <row r="4531" spans="1:2" x14ac:dyDescent="0.25">
      <c r="A4531" s="73"/>
      <c r="B4531" s="73"/>
    </row>
    <row r="4532" spans="1:2" x14ac:dyDescent="0.25">
      <c r="A4532" s="73"/>
      <c r="B4532" s="73"/>
    </row>
    <row r="4533" spans="1:2" x14ac:dyDescent="0.25">
      <c r="A4533" s="73"/>
      <c r="B4533" s="73"/>
    </row>
    <row r="4534" spans="1:2" x14ac:dyDescent="0.25">
      <c r="A4534" s="73"/>
      <c r="B4534" s="73"/>
    </row>
    <row r="4535" spans="1:2" x14ac:dyDescent="0.25">
      <c r="A4535" s="73"/>
      <c r="B4535" s="73"/>
    </row>
    <row r="4536" spans="1:2" x14ac:dyDescent="0.25">
      <c r="A4536" s="73"/>
      <c r="B4536" s="73"/>
    </row>
    <row r="4537" spans="1:2" x14ac:dyDescent="0.25">
      <c r="A4537" s="73"/>
      <c r="B4537" s="73"/>
    </row>
    <row r="4538" spans="1:2" x14ac:dyDescent="0.25">
      <c r="A4538" s="73"/>
      <c r="B4538" s="73"/>
    </row>
    <row r="4539" spans="1:2" x14ac:dyDescent="0.25">
      <c r="A4539" s="73"/>
      <c r="B4539" s="73"/>
    </row>
    <row r="4540" spans="1:2" x14ac:dyDescent="0.25">
      <c r="A4540" s="73"/>
      <c r="B4540" s="73"/>
    </row>
    <row r="4541" spans="1:2" x14ac:dyDescent="0.25">
      <c r="A4541" s="73"/>
      <c r="B4541" s="73"/>
    </row>
    <row r="4542" spans="1:2" x14ac:dyDescent="0.25">
      <c r="A4542" s="73"/>
      <c r="B4542" s="73"/>
    </row>
    <row r="4543" spans="1:2" x14ac:dyDescent="0.25">
      <c r="A4543" s="73"/>
      <c r="B4543" s="73"/>
    </row>
    <row r="4544" spans="1:2" x14ac:dyDescent="0.25">
      <c r="A4544" s="73"/>
      <c r="B4544" s="73"/>
    </row>
    <row r="4545" spans="1:2" x14ac:dyDescent="0.25">
      <c r="A4545" s="73"/>
      <c r="B4545" s="73"/>
    </row>
    <row r="4546" spans="1:2" x14ac:dyDescent="0.25">
      <c r="A4546" s="73"/>
      <c r="B4546" s="73"/>
    </row>
    <row r="4547" spans="1:2" x14ac:dyDescent="0.25">
      <c r="A4547" s="73"/>
      <c r="B4547" s="73"/>
    </row>
    <row r="4548" spans="1:2" x14ac:dyDescent="0.25">
      <c r="A4548" s="73"/>
      <c r="B4548" s="73"/>
    </row>
    <row r="4549" spans="1:2" x14ac:dyDescent="0.25">
      <c r="A4549" s="73"/>
      <c r="B4549" s="73"/>
    </row>
    <row r="4550" spans="1:2" x14ac:dyDescent="0.25">
      <c r="A4550" s="73"/>
      <c r="B4550" s="73"/>
    </row>
    <row r="4551" spans="1:2" x14ac:dyDescent="0.25">
      <c r="A4551" s="73"/>
      <c r="B4551" s="73"/>
    </row>
    <row r="4552" spans="1:2" x14ac:dyDescent="0.25">
      <c r="A4552" s="73"/>
      <c r="B4552" s="73"/>
    </row>
    <row r="4553" spans="1:2" x14ac:dyDescent="0.25">
      <c r="A4553" s="73"/>
      <c r="B4553" s="73"/>
    </row>
    <row r="4554" spans="1:2" x14ac:dyDescent="0.25">
      <c r="A4554" s="73"/>
      <c r="B4554" s="73"/>
    </row>
    <row r="4555" spans="1:2" x14ac:dyDescent="0.25">
      <c r="A4555" s="73"/>
      <c r="B4555" s="73"/>
    </row>
    <row r="4556" spans="1:2" x14ac:dyDescent="0.25">
      <c r="A4556" s="73"/>
      <c r="B4556" s="73"/>
    </row>
    <row r="4557" spans="1:2" x14ac:dyDescent="0.25">
      <c r="A4557" s="73"/>
      <c r="B4557" s="73"/>
    </row>
    <row r="4558" spans="1:2" x14ac:dyDescent="0.25">
      <c r="A4558" s="73"/>
      <c r="B4558" s="73"/>
    </row>
    <row r="4559" spans="1:2" x14ac:dyDescent="0.25">
      <c r="A4559" s="73"/>
      <c r="B4559" s="73"/>
    </row>
    <row r="4560" spans="1:2" x14ac:dyDescent="0.25">
      <c r="A4560" s="73"/>
      <c r="B4560" s="73"/>
    </row>
    <row r="4561" spans="1:2" x14ac:dyDescent="0.25">
      <c r="A4561" s="73"/>
      <c r="B4561" s="73"/>
    </row>
    <row r="4562" spans="1:2" x14ac:dyDescent="0.25">
      <c r="A4562" s="73"/>
      <c r="B4562" s="73"/>
    </row>
    <row r="4563" spans="1:2" x14ac:dyDescent="0.25">
      <c r="A4563" s="73"/>
      <c r="B4563" s="73"/>
    </row>
    <row r="4564" spans="1:2" x14ac:dyDescent="0.25">
      <c r="A4564" s="73"/>
      <c r="B4564" s="73"/>
    </row>
    <row r="4565" spans="1:2" x14ac:dyDescent="0.25">
      <c r="A4565" s="73"/>
      <c r="B4565" s="73"/>
    </row>
    <row r="4566" spans="1:2" x14ac:dyDescent="0.25">
      <c r="A4566" s="73"/>
      <c r="B4566" s="73"/>
    </row>
    <row r="4567" spans="1:2" x14ac:dyDescent="0.25">
      <c r="A4567" s="73"/>
      <c r="B4567" s="73"/>
    </row>
    <row r="4568" spans="1:2" x14ac:dyDescent="0.25">
      <c r="A4568" s="73"/>
      <c r="B4568" s="73"/>
    </row>
    <row r="4569" spans="1:2" x14ac:dyDescent="0.25">
      <c r="A4569" s="73"/>
      <c r="B4569" s="73"/>
    </row>
    <row r="4570" spans="1:2" x14ac:dyDescent="0.25">
      <c r="A4570" s="73"/>
      <c r="B4570" s="73"/>
    </row>
    <row r="4571" spans="1:2" x14ac:dyDescent="0.25">
      <c r="A4571" s="73"/>
      <c r="B4571" s="73"/>
    </row>
    <row r="4572" spans="1:2" x14ac:dyDescent="0.25">
      <c r="A4572" s="73"/>
      <c r="B4572" s="73"/>
    </row>
    <row r="4573" spans="1:2" x14ac:dyDescent="0.25">
      <c r="A4573" s="73"/>
      <c r="B4573" s="73"/>
    </row>
    <row r="4574" spans="1:2" x14ac:dyDescent="0.25">
      <c r="A4574" s="73"/>
      <c r="B4574" s="73"/>
    </row>
    <row r="4575" spans="1:2" x14ac:dyDescent="0.25">
      <c r="A4575" s="73"/>
      <c r="B4575" s="73"/>
    </row>
    <row r="4576" spans="1:2" x14ac:dyDescent="0.25">
      <c r="A4576" s="73"/>
      <c r="B4576" s="73"/>
    </row>
    <row r="4577" spans="1:2" x14ac:dyDescent="0.25">
      <c r="A4577" s="73"/>
      <c r="B4577" s="73"/>
    </row>
    <row r="4578" spans="1:2" x14ac:dyDescent="0.25">
      <c r="A4578" s="73"/>
      <c r="B4578" s="73"/>
    </row>
    <row r="4579" spans="1:2" x14ac:dyDescent="0.25">
      <c r="A4579" s="73"/>
      <c r="B4579" s="73"/>
    </row>
    <row r="4580" spans="1:2" x14ac:dyDescent="0.25">
      <c r="A4580" s="73"/>
      <c r="B4580" s="73"/>
    </row>
    <row r="4581" spans="1:2" x14ac:dyDescent="0.25">
      <c r="A4581" s="73"/>
      <c r="B4581" s="73"/>
    </row>
    <row r="4582" spans="1:2" x14ac:dyDescent="0.25">
      <c r="A4582" s="73"/>
      <c r="B4582" s="73"/>
    </row>
    <row r="4583" spans="1:2" x14ac:dyDescent="0.25">
      <c r="A4583" s="73"/>
      <c r="B4583" s="73"/>
    </row>
    <row r="4584" spans="1:2" x14ac:dyDescent="0.25">
      <c r="A4584" s="73"/>
      <c r="B4584" s="73"/>
    </row>
    <row r="4585" spans="1:2" x14ac:dyDescent="0.25">
      <c r="A4585" s="73"/>
      <c r="B4585" s="73"/>
    </row>
    <row r="4586" spans="1:2" x14ac:dyDescent="0.25">
      <c r="A4586" s="73"/>
      <c r="B4586" s="73"/>
    </row>
    <row r="4587" spans="1:2" x14ac:dyDescent="0.25">
      <c r="A4587" s="73"/>
      <c r="B4587" s="73"/>
    </row>
    <row r="4588" spans="1:2" x14ac:dyDescent="0.25">
      <c r="A4588" s="73"/>
      <c r="B4588" s="73"/>
    </row>
    <row r="4589" spans="1:2" x14ac:dyDescent="0.25">
      <c r="A4589" s="73"/>
      <c r="B4589" s="73"/>
    </row>
    <row r="4590" spans="1:2" x14ac:dyDescent="0.25">
      <c r="A4590" s="73"/>
      <c r="B4590" s="73"/>
    </row>
    <row r="4591" spans="1:2" x14ac:dyDescent="0.25">
      <c r="A4591" s="73"/>
      <c r="B4591" s="73"/>
    </row>
    <row r="4592" spans="1:2" x14ac:dyDescent="0.25">
      <c r="A4592" s="73"/>
      <c r="B4592" s="73"/>
    </row>
    <row r="4593" spans="1:2" x14ac:dyDescent="0.25">
      <c r="A4593" s="73"/>
      <c r="B4593" s="73"/>
    </row>
    <row r="4594" spans="1:2" x14ac:dyDescent="0.25">
      <c r="A4594" s="73"/>
      <c r="B4594" s="73"/>
    </row>
    <row r="4595" spans="1:2" x14ac:dyDescent="0.25">
      <c r="A4595" s="73"/>
      <c r="B4595" s="73"/>
    </row>
    <row r="4596" spans="1:2" x14ac:dyDescent="0.25">
      <c r="A4596" s="73"/>
      <c r="B4596" s="73"/>
    </row>
    <row r="4597" spans="1:2" x14ac:dyDescent="0.25">
      <c r="A4597" s="73"/>
      <c r="B4597" s="73"/>
    </row>
    <row r="4598" spans="1:2" x14ac:dyDescent="0.25">
      <c r="A4598" s="73"/>
      <c r="B4598" s="73"/>
    </row>
    <row r="4599" spans="1:2" x14ac:dyDescent="0.25">
      <c r="A4599" s="73"/>
      <c r="B4599" s="73"/>
    </row>
    <row r="4600" spans="1:2" x14ac:dyDescent="0.25">
      <c r="A4600" s="73"/>
      <c r="B4600" s="73"/>
    </row>
    <row r="4601" spans="1:2" x14ac:dyDescent="0.25">
      <c r="A4601" s="73"/>
      <c r="B4601" s="73"/>
    </row>
    <row r="4602" spans="1:2" x14ac:dyDescent="0.25">
      <c r="A4602" s="73"/>
      <c r="B4602" s="73"/>
    </row>
    <row r="4603" spans="1:2" x14ac:dyDescent="0.25">
      <c r="A4603" s="73"/>
      <c r="B4603" s="73"/>
    </row>
    <row r="4604" spans="1:2" x14ac:dyDescent="0.25">
      <c r="A4604" s="73"/>
      <c r="B4604" s="73"/>
    </row>
    <row r="4605" spans="1:2" x14ac:dyDescent="0.25">
      <c r="A4605" s="73"/>
      <c r="B4605" s="73"/>
    </row>
    <row r="4606" spans="1:2" x14ac:dyDescent="0.25">
      <c r="A4606" s="73"/>
      <c r="B4606" s="73"/>
    </row>
    <row r="4607" spans="1:2" x14ac:dyDescent="0.25">
      <c r="A4607" s="73"/>
      <c r="B4607" s="73"/>
    </row>
    <row r="4608" spans="1:2" x14ac:dyDescent="0.25">
      <c r="A4608" s="73"/>
      <c r="B4608" s="73"/>
    </row>
    <row r="4609" spans="1:2" x14ac:dyDescent="0.25">
      <c r="A4609" s="73"/>
      <c r="B4609" s="73"/>
    </row>
    <row r="4610" spans="1:2" x14ac:dyDescent="0.25">
      <c r="A4610" s="73"/>
      <c r="B4610" s="73"/>
    </row>
    <row r="4611" spans="1:2" x14ac:dyDescent="0.25">
      <c r="A4611" s="73"/>
      <c r="B4611" s="73"/>
    </row>
    <row r="4612" spans="1:2" x14ac:dyDescent="0.25">
      <c r="A4612" s="73"/>
      <c r="B4612" s="73"/>
    </row>
    <row r="4613" spans="1:2" x14ac:dyDescent="0.25">
      <c r="A4613" s="73"/>
      <c r="B4613" s="73"/>
    </row>
    <row r="4614" spans="1:2" x14ac:dyDescent="0.25">
      <c r="A4614" s="73"/>
      <c r="B4614" s="73"/>
    </row>
    <row r="4615" spans="1:2" x14ac:dyDescent="0.25">
      <c r="A4615" s="73"/>
      <c r="B4615" s="73"/>
    </row>
    <row r="4616" spans="1:2" x14ac:dyDescent="0.25">
      <c r="A4616" s="73"/>
      <c r="B4616" s="73"/>
    </row>
    <row r="4617" spans="1:2" x14ac:dyDescent="0.25">
      <c r="A4617" s="73"/>
      <c r="B4617" s="73"/>
    </row>
    <row r="4618" spans="1:2" x14ac:dyDescent="0.25">
      <c r="A4618" s="73"/>
      <c r="B4618" s="73"/>
    </row>
    <row r="4619" spans="1:2" x14ac:dyDescent="0.25">
      <c r="A4619" s="73"/>
      <c r="B4619" s="73"/>
    </row>
    <row r="4620" spans="1:2" x14ac:dyDescent="0.25">
      <c r="A4620" s="73"/>
      <c r="B4620" s="73"/>
    </row>
    <row r="4621" spans="1:2" x14ac:dyDescent="0.25">
      <c r="A4621" s="73"/>
      <c r="B4621" s="73"/>
    </row>
    <row r="4622" spans="1:2" x14ac:dyDescent="0.25">
      <c r="A4622" s="73"/>
      <c r="B4622" s="73"/>
    </row>
    <row r="4623" spans="1:2" x14ac:dyDescent="0.25">
      <c r="A4623" s="73"/>
      <c r="B4623" s="73"/>
    </row>
    <row r="4624" spans="1:2" x14ac:dyDescent="0.25">
      <c r="A4624" s="73"/>
      <c r="B4624" s="73"/>
    </row>
    <row r="4625" spans="1:2" x14ac:dyDescent="0.25">
      <c r="A4625" s="73"/>
      <c r="B4625" s="73"/>
    </row>
    <row r="4626" spans="1:2" x14ac:dyDescent="0.25">
      <c r="A4626" s="73"/>
      <c r="B4626" s="73"/>
    </row>
    <row r="4627" spans="1:2" x14ac:dyDescent="0.25">
      <c r="A4627" s="73"/>
      <c r="B4627" s="73"/>
    </row>
    <row r="4628" spans="1:2" x14ac:dyDescent="0.25">
      <c r="A4628" s="73"/>
      <c r="B4628" s="73"/>
    </row>
    <row r="4629" spans="1:2" x14ac:dyDescent="0.25">
      <c r="A4629" s="73"/>
      <c r="B4629" s="73"/>
    </row>
    <row r="4630" spans="1:2" x14ac:dyDescent="0.25">
      <c r="A4630" s="73"/>
      <c r="B4630" s="73"/>
    </row>
    <row r="4631" spans="1:2" x14ac:dyDescent="0.25">
      <c r="A4631" s="73"/>
      <c r="B4631" s="73"/>
    </row>
    <row r="4632" spans="1:2" x14ac:dyDescent="0.25">
      <c r="A4632" s="73"/>
      <c r="B4632" s="73"/>
    </row>
    <row r="4633" spans="1:2" x14ac:dyDescent="0.25">
      <c r="A4633" s="73"/>
      <c r="B4633" s="73"/>
    </row>
    <row r="4634" spans="1:2" x14ac:dyDescent="0.25">
      <c r="A4634" s="73"/>
      <c r="B4634" s="73"/>
    </row>
    <row r="4635" spans="1:2" x14ac:dyDescent="0.25">
      <c r="A4635" s="73"/>
      <c r="B4635" s="73"/>
    </row>
    <row r="4636" spans="1:2" x14ac:dyDescent="0.25">
      <c r="A4636" s="73"/>
      <c r="B4636" s="73"/>
    </row>
    <row r="4637" spans="1:2" x14ac:dyDescent="0.25">
      <c r="A4637" s="73"/>
      <c r="B4637" s="73"/>
    </row>
    <row r="4638" spans="1:2" x14ac:dyDescent="0.25">
      <c r="A4638" s="73"/>
      <c r="B4638" s="73"/>
    </row>
    <row r="4639" spans="1:2" x14ac:dyDescent="0.25">
      <c r="A4639" s="73"/>
      <c r="B4639" s="73"/>
    </row>
    <row r="4640" spans="1:2" x14ac:dyDescent="0.25">
      <c r="A4640" s="73"/>
      <c r="B4640" s="73"/>
    </row>
    <row r="4641" spans="1:2" x14ac:dyDescent="0.25">
      <c r="A4641" s="73"/>
      <c r="B4641" s="73"/>
    </row>
    <row r="4642" spans="1:2" x14ac:dyDescent="0.25">
      <c r="A4642" s="73"/>
      <c r="B4642" s="73"/>
    </row>
    <row r="4643" spans="1:2" x14ac:dyDescent="0.25">
      <c r="A4643" s="73"/>
      <c r="B4643" s="73"/>
    </row>
    <row r="4644" spans="1:2" x14ac:dyDescent="0.25">
      <c r="A4644" s="73"/>
      <c r="B4644" s="73"/>
    </row>
    <row r="4645" spans="1:2" x14ac:dyDescent="0.25">
      <c r="A4645" s="73"/>
      <c r="B4645" s="73"/>
    </row>
    <row r="4646" spans="1:2" x14ac:dyDescent="0.25">
      <c r="A4646" s="73"/>
      <c r="B4646" s="73"/>
    </row>
    <row r="4647" spans="1:2" x14ac:dyDescent="0.25">
      <c r="A4647" s="73"/>
      <c r="B4647" s="73"/>
    </row>
    <row r="4648" spans="1:2" x14ac:dyDescent="0.25">
      <c r="A4648" s="73"/>
      <c r="B4648" s="73"/>
    </row>
    <row r="4649" spans="1:2" x14ac:dyDescent="0.25">
      <c r="A4649" s="73"/>
      <c r="B4649" s="73"/>
    </row>
    <row r="4650" spans="1:2" x14ac:dyDescent="0.25">
      <c r="A4650" s="73"/>
      <c r="B4650" s="73"/>
    </row>
    <row r="4651" spans="1:2" x14ac:dyDescent="0.25">
      <c r="A4651" s="73"/>
      <c r="B4651" s="73"/>
    </row>
    <row r="4652" spans="1:2" x14ac:dyDescent="0.25">
      <c r="A4652" s="73"/>
      <c r="B4652" s="73"/>
    </row>
    <row r="4653" spans="1:2" x14ac:dyDescent="0.25">
      <c r="A4653" s="73"/>
      <c r="B4653" s="73"/>
    </row>
    <row r="4654" spans="1:2" x14ac:dyDescent="0.25">
      <c r="A4654" s="73"/>
      <c r="B4654" s="73"/>
    </row>
    <row r="4655" spans="1:2" x14ac:dyDescent="0.25">
      <c r="A4655" s="73"/>
      <c r="B4655" s="73"/>
    </row>
    <row r="4656" spans="1:2" x14ac:dyDescent="0.25">
      <c r="A4656" s="73"/>
      <c r="B4656" s="73"/>
    </row>
    <row r="4657" spans="1:2" x14ac:dyDescent="0.25">
      <c r="A4657" s="73"/>
      <c r="B4657" s="73"/>
    </row>
    <row r="4658" spans="1:2" x14ac:dyDescent="0.25">
      <c r="A4658" s="73"/>
      <c r="B4658" s="73"/>
    </row>
    <row r="4659" spans="1:2" x14ac:dyDescent="0.25">
      <c r="A4659" s="73"/>
      <c r="B4659" s="73"/>
    </row>
    <row r="4660" spans="1:2" x14ac:dyDescent="0.25">
      <c r="A4660" s="73"/>
      <c r="B4660" s="73"/>
    </row>
    <row r="4661" spans="1:2" x14ac:dyDescent="0.25">
      <c r="A4661" s="73"/>
      <c r="B4661" s="73"/>
    </row>
    <row r="4662" spans="1:2" x14ac:dyDescent="0.25">
      <c r="A4662" s="73"/>
      <c r="B4662" s="73"/>
    </row>
    <row r="4663" spans="1:2" x14ac:dyDescent="0.25">
      <c r="A4663" s="73"/>
      <c r="B4663" s="73"/>
    </row>
    <row r="4664" spans="1:2" x14ac:dyDescent="0.25">
      <c r="A4664" s="73"/>
      <c r="B4664" s="73"/>
    </row>
    <row r="4665" spans="1:2" x14ac:dyDescent="0.25">
      <c r="A4665" s="73"/>
      <c r="B4665" s="73"/>
    </row>
    <row r="4666" spans="1:2" x14ac:dyDescent="0.25">
      <c r="A4666" s="73"/>
      <c r="B4666" s="73"/>
    </row>
    <row r="4667" spans="1:2" x14ac:dyDescent="0.25">
      <c r="A4667" s="73"/>
      <c r="B4667" s="73"/>
    </row>
    <row r="4668" spans="1:2" x14ac:dyDescent="0.25">
      <c r="A4668" s="73"/>
      <c r="B4668" s="73"/>
    </row>
    <row r="4669" spans="1:2" x14ac:dyDescent="0.25">
      <c r="A4669" s="73"/>
      <c r="B4669" s="73"/>
    </row>
    <row r="4670" spans="1:2" x14ac:dyDescent="0.25">
      <c r="A4670" s="73"/>
      <c r="B4670" s="73"/>
    </row>
    <row r="4671" spans="1:2" x14ac:dyDescent="0.25">
      <c r="A4671" s="73"/>
      <c r="B4671" s="73"/>
    </row>
    <row r="4672" spans="1:2" x14ac:dyDescent="0.25">
      <c r="A4672" s="73"/>
      <c r="B4672" s="73"/>
    </row>
    <row r="4673" spans="1:2" x14ac:dyDescent="0.25">
      <c r="A4673" s="73"/>
      <c r="B4673" s="73"/>
    </row>
    <row r="4674" spans="1:2" x14ac:dyDescent="0.25">
      <c r="A4674" s="73"/>
      <c r="B4674" s="73"/>
    </row>
    <row r="4675" spans="1:2" x14ac:dyDescent="0.25">
      <c r="A4675" s="73"/>
      <c r="B4675" s="73"/>
    </row>
    <row r="4676" spans="1:2" x14ac:dyDescent="0.25">
      <c r="A4676" s="73"/>
      <c r="B4676" s="73"/>
    </row>
    <row r="4677" spans="1:2" x14ac:dyDescent="0.25">
      <c r="A4677" s="73"/>
      <c r="B4677" s="73"/>
    </row>
    <row r="4678" spans="1:2" x14ac:dyDescent="0.25">
      <c r="A4678" s="73"/>
      <c r="B4678" s="73"/>
    </row>
    <row r="4679" spans="1:2" x14ac:dyDescent="0.25">
      <c r="A4679" s="73"/>
      <c r="B4679" s="73"/>
    </row>
    <row r="4680" spans="1:2" x14ac:dyDescent="0.25">
      <c r="A4680" s="73"/>
      <c r="B4680" s="73"/>
    </row>
    <row r="4681" spans="1:2" x14ac:dyDescent="0.25">
      <c r="A4681" s="73"/>
      <c r="B4681" s="73"/>
    </row>
    <row r="4682" spans="1:2" x14ac:dyDescent="0.25">
      <c r="A4682" s="73"/>
      <c r="B4682" s="73"/>
    </row>
    <row r="4683" spans="1:2" x14ac:dyDescent="0.25">
      <c r="A4683" s="73"/>
      <c r="B4683" s="73"/>
    </row>
    <row r="4684" spans="1:2" x14ac:dyDescent="0.25">
      <c r="A4684" s="73"/>
      <c r="B4684" s="73"/>
    </row>
    <row r="4685" spans="1:2" x14ac:dyDescent="0.25">
      <c r="A4685" s="73"/>
      <c r="B4685" s="73"/>
    </row>
    <row r="4686" spans="1:2" x14ac:dyDescent="0.25">
      <c r="A4686" s="73"/>
      <c r="B4686" s="73"/>
    </row>
    <row r="4687" spans="1:2" x14ac:dyDescent="0.25">
      <c r="A4687" s="73"/>
      <c r="B4687" s="73"/>
    </row>
    <row r="4688" spans="1:2" x14ac:dyDescent="0.25">
      <c r="A4688" s="73"/>
      <c r="B4688" s="73"/>
    </row>
    <row r="4689" spans="1:2" x14ac:dyDescent="0.25">
      <c r="A4689" s="73"/>
      <c r="B4689" s="73"/>
    </row>
    <row r="4690" spans="1:2" x14ac:dyDescent="0.25">
      <c r="A4690" s="73"/>
      <c r="B4690" s="73"/>
    </row>
    <row r="4691" spans="1:2" x14ac:dyDescent="0.25">
      <c r="A4691" s="73"/>
      <c r="B4691" s="73"/>
    </row>
    <row r="4692" spans="1:2" x14ac:dyDescent="0.25">
      <c r="A4692" s="73"/>
      <c r="B4692" s="73"/>
    </row>
    <row r="4693" spans="1:2" x14ac:dyDescent="0.25">
      <c r="A4693" s="73"/>
      <c r="B4693" s="73"/>
    </row>
    <row r="4694" spans="1:2" x14ac:dyDescent="0.25">
      <c r="A4694" s="73"/>
      <c r="B4694" s="73"/>
    </row>
    <row r="4695" spans="1:2" x14ac:dyDescent="0.25">
      <c r="A4695" s="73"/>
      <c r="B4695" s="73"/>
    </row>
    <row r="4696" spans="1:2" x14ac:dyDescent="0.25">
      <c r="A4696" s="73"/>
      <c r="B4696" s="73"/>
    </row>
    <row r="4697" spans="1:2" x14ac:dyDescent="0.25">
      <c r="A4697" s="73"/>
      <c r="B4697" s="73"/>
    </row>
    <row r="4698" spans="1:2" x14ac:dyDescent="0.25">
      <c r="A4698" s="73"/>
      <c r="B4698" s="73"/>
    </row>
    <row r="4699" spans="1:2" x14ac:dyDescent="0.25">
      <c r="A4699" s="73"/>
      <c r="B4699" s="73"/>
    </row>
    <row r="4700" spans="1:2" x14ac:dyDescent="0.25">
      <c r="A4700" s="73"/>
      <c r="B4700" s="73"/>
    </row>
    <row r="4701" spans="1:2" x14ac:dyDescent="0.25">
      <c r="A4701" s="73"/>
      <c r="B4701" s="73"/>
    </row>
    <row r="4702" spans="1:2" x14ac:dyDescent="0.25">
      <c r="A4702" s="73"/>
      <c r="B4702" s="73"/>
    </row>
    <row r="4703" spans="1:2" x14ac:dyDescent="0.25">
      <c r="A4703" s="73"/>
      <c r="B4703" s="73"/>
    </row>
    <row r="4704" spans="1:2" x14ac:dyDescent="0.25">
      <c r="A4704" s="73"/>
      <c r="B4704" s="73"/>
    </row>
    <row r="4705" spans="1:2" x14ac:dyDescent="0.25">
      <c r="A4705" s="73"/>
      <c r="B4705" s="73"/>
    </row>
    <row r="4706" spans="1:2" x14ac:dyDescent="0.25">
      <c r="A4706" s="73"/>
      <c r="B4706" s="73"/>
    </row>
    <row r="4707" spans="1:2" x14ac:dyDescent="0.25">
      <c r="A4707" s="73"/>
      <c r="B4707" s="73"/>
    </row>
    <row r="4708" spans="1:2" x14ac:dyDescent="0.25">
      <c r="A4708" s="73"/>
      <c r="B4708" s="73"/>
    </row>
    <row r="4709" spans="1:2" x14ac:dyDescent="0.25">
      <c r="A4709" s="73"/>
      <c r="B4709" s="73"/>
    </row>
    <row r="4710" spans="1:2" x14ac:dyDescent="0.25">
      <c r="A4710" s="73"/>
      <c r="B4710" s="73"/>
    </row>
    <row r="4711" spans="1:2" x14ac:dyDescent="0.25">
      <c r="A4711" s="73"/>
      <c r="B4711" s="73"/>
    </row>
    <row r="4712" spans="1:2" x14ac:dyDescent="0.25">
      <c r="A4712" s="73"/>
      <c r="B4712" s="73"/>
    </row>
    <row r="4713" spans="1:2" x14ac:dyDescent="0.25">
      <c r="A4713" s="73"/>
      <c r="B4713" s="73"/>
    </row>
    <row r="4714" spans="1:2" x14ac:dyDescent="0.25">
      <c r="A4714" s="73"/>
      <c r="B4714" s="73"/>
    </row>
    <row r="4715" spans="1:2" x14ac:dyDescent="0.25">
      <c r="A4715" s="73"/>
      <c r="B4715" s="73"/>
    </row>
    <row r="4716" spans="1:2" x14ac:dyDescent="0.25">
      <c r="A4716" s="73"/>
      <c r="B4716" s="73"/>
    </row>
    <row r="4717" spans="1:2" x14ac:dyDescent="0.25">
      <c r="A4717" s="73"/>
      <c r="B4717" s="73"/>
    </row>
    <row r="4718" spans="1:2" x14ac:dyDescent="0.25">
      <c r="A4718" s="73"/>
      <c r="B4718" s="73"/>
    </row>
    <row r="4719" spans="1:2" x14ac:dyDescent="0.25">
      <c r="A4719" s="73"/>
      <c r="B4719" s="73"/>
    </row>
    <row r="4720" spans="1:2" x14ac:dyDescent="0.25">
      <c r="A4720" s="73"/>
      <c r="B4720" s="73"/>
    </row>
    <row r="4721" spans="1:2" x14ac:dyDescent="0.25">
      <c r="A4721" s="73"/>
      <c r="B4721" s="73"/>
    </row>
    <row r="4722" spans="1:2" x14ac:dyDescent="0.25">
      <c r="A4722" s="73"/>
      <c r="B4722" s="73"/>
    </row>
    <row r="4723" spans="1:2" x14ac:dyDescent="0.25">
      <c r="A4723" s="73"/>
      <c r="B4723" s="73"/>
    </row>
    <row r="4724" spans="1:2" x14ac:dyDescent="0.25">
      <c r="A4724" s="73"/>
      <c r="B4724" s="73"/>
    </row>
    <row r="4725" spans="1:2" x14ac:dyDescent="0.25">
      <c r="A4725" s="73"/>
      <c r="B4725" s="73"/>
    </row>
    <row r="4726" spans="1:2" x14ac:dyDescent="0.25">
      <c r="A4726" s="73"/>
      <c r="B4726" s="73"/>
    </row>
    <row r="4727" spans="1:2" x14ac:dyDescent="0.25">
      <c r="A4727" s="73"/>
      <c r="B4727" s="73"/>
    </row>
    <row r="4728" spans="1:2" x14ac:dyDescent="0.25">
      <c r="A4728" s="73"/>
      <c r="B4728" s="73"/>
    </row>
    <row r="4729" spans="1:2" x14ac:dyDescent="0.25">
      <c r="A4729" s="73"/>
      <c r="B4729" s="73"/>
    </row>
    <row r="4730" spans="1:2" x14ac:dyDescent="0.25">
      <c r="A4730" s="73"/>
      <c r="B4730" s="73"/>
    </row>
    <row r="4731" spans="1:2" x14ac:dyDescent="0.25">
      <c r="A4731" s="73"/>
      <c r="B4731" s="73"/>
    </row>
    <row r="4732" spans="1:2" x14ac:dyDescent="0.25">
      <c r="A4732" s="73"/>
      <c r="B4732" s="73"/>
    </row>
    <row r="4733" spans="1:2" x14ac:dyDescent="0.25">
      <c r="A4733" s="73"/>
      <c r="B4733" s="73"/>
    </row>
    <row r="4734" spans="1:2" x14ac:dyDescent="0.25">
      <c r="A4734" s="73"/>
      <c r="B4734" s="73"/>
    </row>
    <row r="4735" spans="1:2" x14ac:dyDescent="0.25">
      <c r="A4735" s="73"/>
      <c r="B4735" s="73"/>
    </row>
    <row r="4736" spans="1:2" x14ac:dyDescent="0.25">
      <c r="A4736" s="73"/>
      <c r="B4736" s="73"/>
    </row>
    <row r="4737" spans="1:2" x14ac:dyDescent="0.25">
      <c r="A4737" s="73"/>
      <c r="B4737" s="73"/>
    </row>
    <row r="4738" spans="1:2" x14ac:dyDescent="0.25">
      <c r="A4738" s="73"/>
      <c r="B4738" s="73"/>
    </row>
    <row r="4739" spans="1:2" x14ac:dyDescent="0.25">
      <c r="A4739" s="73"/>
      <c r="B4739" s="73"/>
    </row>
    <row r="4740" spans="1:2" x14ac:dyDescent="0.25">
      <c r="A4740" s="73"/>
      <c r="B4740" s="73"/>
    </row>
    <row r="4741" spans="1:2" x14ac:dyDescent="0.25">
      <c r="A4741" s="73"/>
      <c r="B4741" s="73"/>
    </row>
    <row r="4742" spans="1:2" x14ac:dyDescent="0.25">
      <c r="A4742" s="73"/>
      <c r="B4742" s="73"/>
    </row>
    <row r="4743" spans="1:2" x14ac:dyDescent="0.25">
      <c r="A4743" s="73"/>
      <c r="B4743" s="73"/>
    </row>
    <row r="4744" spans="1:2" x14ac:dyDescent="0.25">
      <c r="A4744" s="73"/>
      <c r="B4744" s="73"/>
    </row>
    <row r="4745" spans="1:2" x14ac:dyDescent="0.25">
      <c r="A4745" s="73"/>
      <c r="B4745" s="73"/>
    </row>
    <row r="4746" spans="1:2" x14ac:dyDescent="0.25">
      <c r="A4746" s="73"/>
      <c r="B4746" s="73"/>
    </row>
    <row r="4747" spans="1:2" x14ac:dyDescent="0.25">
      <c r="A4747" s="73"/>
      <c r="B4747" s="73"/>
    </row>
    <row r="4748" spans="1:2" x14ac:dyDescent="0.25">
      <c r="A4748" s="73"/>
      <c r="B4748" s="73"/>
    </row>
    <row r="4749" spans="1:2" x14ac:dyDescent="0.25">
      <c r="A4749" s="73"/>
      <c r="B4749" s="73"/>
    </row>
    <row r="4750" spans="1:2" x14ac:dyDescent="0.25">
      <c r="A4750" s="73"/>
      <c r="B4750" s="73"/>
    </row>
    <row r="4751" spans="1:2" x14ac:dyDescent="0.25">
      <c r="A4751" s="73"/>
      <c r="B4751" s="73"/>
    </row>
    <row r="4752" spans="1:2" x14ac:dyDescent="0.25">
      <c r="A4752" s="73"/>
      <c r="B4752" s="73"/>
    </row>
    <row r="4753" spans="1:2" x14ac:dyDescent="0.25">
      <c r="A4753" s="73"/>
      <c r="B4753" s="73"/>
    </row>
    <row r="4754" spans="1:2" x14ac:dyDescent="0.25">
      <c r="A4754" s="73"/>
      <c r="B4754" s="73"/>
    </row>
    <row r="4755" spans="1:2" x14ac:dyDescent="0.25">
      <c r="A4755" s="73"/>
      <c r="B4755" s="73"/>
    </row>
    <row r="4756" spans="1:2" x14ac:dyDescent="0.25">
      <c r="A4756" s="73"/>
      <c r="B4756" s="73"/>
    </row>
    <row r="4757" spans="1:2" x14ac:dyDescent="0.25">
      <c r="A4757" s="73"/>
      <c r="B4757" s="73"/>
    </row>
    <row r="4758" spans="1:2" x14ac:dyDescent="0.25">
      <c r="A4758" s="73"/>
      <c r="B4758" s="73"/>
    </row>
    <row r="4759" spans="1:2" x14ac:dyDescent="0.25">
      <c r="A4759" s="73"/>
      <c r="B4759" s="73"/>
    </row>
    <row r="4760" spans="1:2" x14ac:dyDescent="0.25">
      <c r="A4760" s="73"/>
      <c r="B4760" s="73"/>
    </row>
    <row r="4761" spans="1:2" x14ac:dyDescent="0.25">
      <c r="A4761" s="73"/>
      <c r="B4761" s="73"/>
    </row>
    <row r="4762" spans="1:2" x14ac:dyDescent="0.25">
      <c r="A4762" s="73"/>
      <c r="B4762" s="73"/>
    </row>
    <row r="4763" spans="1:2" x14ac:dyDescent="0.25">
      <c r="A4763" s="73"/>
      <c r="B4763" s="73"/>
    </row>
    <row r="4764" spans="1:2" x14ac:dyDescent="0.25">
      <c r="A4764" s="73"/>
      <c r="B4764" s="73"/>
    </row>
    <row r="4765" spans="1:2" x14ac:dyDescent="0.25">
      <c r="A4765" s="73"/>
      <c r="B4765" s="73"/>
    </row>
    <row r="4766" spans="1:2" x14ac:dyDescent="0.25">
      <c r="A4766" s="73"/>
      <c r="B4766" s="73"/>
    </row>
    <row r="4767" spans="1:2" x14ac:dyDescent="0.25">
      <c r="A4767" s="73"/>
      <c r="B4767" s="73"/>
    </row>
    <row r="4768" spans="1:2" x14ac:dyDescent="0.25">
      <c r="A4768" s="73"/>
      <c r="B4768" s="73"/>
    </row>
    <row r="4769" spans="1:2" x14ac:dyDescent="0.25">
      <c r="A4769" s="73"/>
      <c r="B4769" s="73"/>
    </row>
    <row r="4770" spans="1:2" x14ac:dyDescent="0.25">
      <c r="A4770" s="73"/>
      <c r="B4770" s="73"/>
    </row>
    <row r="4771" spans="1:2" x14ac:dyDescent="0.25">
      <c r="A4771" s="73"/>
      <c r="B4771" s="73"/>
    </row>
    <row r="4772" spans="1:2" x14ac:dyDescent="0.25">
      <c r="A4772" s="73"/>
      <c r="B4772" s="73"/>
    </row>
    <row r="4773" spans="1:2" x14ac:dyDescent="0.25">
      <c r="A4773" s="73"/>
      <c r="B4773" s="73"/>
    </row>
    <row r="4774" spans="1:2" x14ac:dyDescent="0.25">
      <c r="A4774" s="73"/>
      <c r="B4774" s="73"/>
    </row>
    <row r="4775" spans="1:2" x14ac:dyDescent="0.25">
      <c r="A4775" s="73"/>
      <c r="B4775" s="73"/>
    </row>
    <row r="4776" spans="1:2" x14ac:dyDescent="0.25">
      <c r="A4776" s="73"/>
      <c r="B4776" s="73"/>
    </row>
    <row r="4777" spans="1:2" x14ac:dyDescent="0.25">
      <c r="A4777" s="73"/>
      <c r="B4777" s="73"/>
    </row>
    <row r="4778" spans="1:2" x14ac:dyDescent="0.25">
      <c r="A4778" s="73"/>
      <c r="B4778" s="73"/>
    </row>
    <row r="4779" spans="1:2" x14ac:dyDescent="0.25">
      <c r="A4779" s="73"/>
      <c r="B4779" s="73"/>
    </row>
    <row r="4780" spans="1:2" x14ac:dyDescent="0.25">
      <c r="A4780" s="73"/>
      <c r="B4780" s="73"/>
    </row>
    <row r="4781" spans="1:2" x14ac:dyDescent="0.25">
      <c r="A4781" s="73"/>
      <c r="B4781" s="73"/>
    </row>
    <row r="4782" spans="1:2" x14ac:dyDescent="0.25">
      <c r="A4782" s="73"/>
      <c r="B4782" s="73"/>
    </row>
    <row r="4783" spans="1:2" x14ac:dyDescent="0.25">
      <c r="A4783" s="73"/>
      <c r="B4783" s="73"/>
    </row>
    <row r="4784" spans="1:2" x14ac:dyDescent="0.25">
      <c r="A4784" s="73"/>
      <c r="B4784" s="73"/>
    </row>
    <row r="4785" spans="1:2" x14ac:dyDescent="0.25">
      <c r="A4785" s="73"/>
      <c r="B4785" s="73"/>
    </row>
    <row r="4786" spans="1:2" x14ac:dyDescent="0.25">
      <c r="A4786" s="73"/>
      <c r="B4786" s="73"/>
    </row>
    <row r="4787" spans="1:2" x14ac:dyDescent="0.25">
      <c r="A4787" s="73"/>
      <c r="B4787" s="73"/>
    </row>
    <row r="4788" spans="1:2" x14ac:dyDescent="0.25">
      <c r="A4788" s="73"/>
      <c r="B4788" s="73"/>
    </row>
    <row r="4789" spans="1:2" x14ac:dyDescent="0.25">
      <c r="A4789" s="73"/>
      <c r="B4789" s="73"/>
    </row>
    <row r="4790" spans="1:2" x14ac:dyDescent="0.25">
      <c r="A4790" s="73"/>
      <c r="B4790" s="73"/>
    </row>
    <row r="4791" spans="1:2" x14ac:dyDescent="0.25">
      <c r="A4791" s="73"/>
      <c r="B4791" s="73"/>
    </row>
    <row r="4792" spans="1:2" x14ac:dyDescent="0.25">
      <c r="A4792" s="73"/>
      <c r="B4792" s="73"/>
    </row>
    <row r="4793" spans="1:2" x14ac:dyDescent="0.25">
      <c r="A4793" s="73"/>
      <c r="B4793" s="73"/>
    </row>
    <row r="4794" spans="1:2" x14ac:dyDescent="0.25">
      <c r="A4794" s="73"/>
      <c r="B4794" s="73"/>
    </row>
    <row r="4795" spans="1:2" x14ac:dyDescent="0.25">
      <c r="A4795" s="73"/>
      <c r="B4795" s="73"/>
    </row>
    <row r="4796" spans="1:2" x14ac:dyDescent="0.25">
      <c r="A4796" s="73"/>
      <c r="B4796" s="73"/>
    </row>
    <row r="4797" spans="1:2" x14ac:dyDescent="0.25">
      <c r="A4797" s="73"/>
      <c r="B4797" s="73"/>
    </row>
    <row r="4798" spans="1:2" x14ac:dyDescent="0.25">
      <c r="A4798" s="73"/>
      <c r="B4798" s="73"/>
    </row>
    <row r="4799" spans="1:2" x14ac:dyDescent="0.25">
      <c r="A4799" s="73"/>
      <c r="B4799" s="73"/>
    </row>
    <row r="4800" spans="1:2" x14ac:dyDescent="0.25">
      <c r="A4800" s="73"/>
      <c r="B4800" s="73"/>
    </row>
    <row r="4801" spans="1:2" x14ac:dyDescent="0.25">
      <c r="A4801" s="73"/>
      <c r="B4801" s="73"/>
    </row>
    <row r="4802" spans="1:2" x14ac:dyDescent="0.25">
      <c r="A4802" s="73"/>
      <c r="B4802" s="73"/>
    </row>
    <row r="4803" spans="1:2" x14ac:dyDescent="0.25">
      <c r="A4803" s="73"/>
      <c r="B4803" s="73"/>
    </row>
    <row r="4804" spans="1:2" x14ac:dyDescent="0.25">
      <c r="A4804" s="73"/>
      <c r="B4804" s="73"/>
    </row>
    <row r="4805" spans="1:2" x14ac:dyDescent="0.25">
      <c r="A4805" s="73"/>
      <c r="B4805" s="73"/>
    </row>
    <row r="4806" spans="1:2" x14ac:dyDescent="0.25">
      <c r="A4806" s="73"/>
      <c r="B4806" s="73"/>
    </row>
    <row r="4807" spans="1:2" x14ac:dyDescent="0.25">
      <c r="A4807" s="73"/>
      <c r="B4807" s="73"/>
    </row>
    <row r="4808" spans="1:2" x14ac:dyDescent="0.25">
      <c r="A4808" s="73"/>
      <c r="B4808" s="73"/>
    </row>
    <row r="4809" spans="1:2" x14ac:dyDescent="0.25">
      <c r="A4809" s="73"/>
      <c r="B4809" s="73"/>
    </row>
    <row r="4810" spans="1:2" x14ac:dyDescent="0.25">
      <c r="A4810" s="73"/>
      <c r="B4810" s="73"/>
    </row>
    <row r="4811" spans="1:2" x14ac:dyDescent="0.25">
      <c r="A4811" s="73"/>
      <c r="B4811" s="73"/>
    </row>
    <row r="4812" spans="1:2" x14ac:dyDescent="0.25">
      <c r="A4812" s="73"/>
      <c r="B4812" s="73"/>
    </row>
    <row r="4813" spans="1:2" x14ac:dyDescent="0.25">
      <c r="A4813" s="73"/>
      <c r="B4813" s="73"/>
    </row>
    <row r="4814" spans="1:2" x14ac:dyDescent="0.25">
      <c r="A4814" s="73"/>
      <c r="B4814" s="73"/>
    </row>
    <row r="4815" spans="1:2" x14ac:dyDescent="0.25">
      <c r="A4815" s="73"/>
      <c r="B4815" s="73"/>
    </row>
    <row r="4816" spans="1:2" x14ac:dyDescent="0.25">
      <c r="A4816" s="73"/>
      <c r="B4816" s="73"/>
    </row>
    <row r="4817" spans="1:2" x14ac:dyDescent="0.25">
      <c r="A4817" s="73"/>
      <c r="B4817" s="73"/>
    </row>
    <row r="4818" spans="1:2" x14ac:dyDescent="0.25">
      <c r="A4818" s="73"/>
      <c r="B4818" s="73"/>
    </row>
    <row r="4819" spans="1:2" x14ac:dyDescent="0.25">
      <c r="A4819" s="73"/>
      <c r="B4819" s="73"/>
    </row>
    <row r="4820" spans="1:2" x14ac:dyDescent="0.25">
      <c r="A4820" s="73"/>
      <c r="B4820" s="73"/>
    </row>
    <row r="4821" spans="1:2" x14ac:dyDescent="0.25">
      <c r="A4821" s="73"/>
      <c r="B4821" s="73"/>
    </row>
    <row r="4822" spans="1:2" x14ac:dyDescent="0.25">
      <c r="A4822" s="73"/>
      <c r="B4822" s="73"/>
    </row>
    <row r="4823" spans="1:2" x14ac:dyDescent="0.25">
      <c r="A4823" s="73"/>
      <c r="B4823" s="73"/>
    </row>
    <row r="4824" spans="1:2" x14ac:dyDescent="0.25">
      <c r="A4824" s="73"/>
      <c r="B4824" s="73"/>
    </row>
    <row r="4825" spans="1:2" x14ac:dyDescent="0.25">
      <c r="A4825" s="73"/>
      <c r="B4825" s="73"/>
    </row>
    <row r="4826" spans="1:2" x14ac:dyDescent="0.25">
      <c r="A4826" s="73"/>
      <c r="B4826" s="73"/>
    </row>
    <row r="4827" spans="1:2" x14ac:dyDescent="0.25">
      <c r="A4827" s="73"/>
      <c r="B4827" s="73"/>
    </row>
    <row r="4828" spans="1:2" x14ac:dyDescent="0.25">
      <c r="A4828" s="73"/>
      <c r="B4828" s="73"/>
    </row>
    <row r="4829" spans="1:2" x14ac:dyDescent="0.25">
      <c r="A4829" s="73"/>
      <c r="B4829" s="73"/>
    </row>
    <row r="4830" spans="1:2" x14ac:dyDescent="0.25">
      <c r="A4830" s="73"/>
      <c r="B4830" s="73"/>
    </row>
    <row r="4831" spans="1:2" x14ac:dyDescent="0.25">
      <c r="A4831" s="73"/>
      <c r="B4831" s="73"/>
    </row>
    <row r="4832" spans="1:2" x14ac:dyDescent="0.25">
      <c r="A4832" s="73"/>
      <c r="B4832" s="73"/>
    </row>
    <row r="4833" spans="1:2" x14ac:dyDescent="0.25">
      <c r="A4833" s="73"/>
      <c r="B4833" s="73"/>
    </row>
    <row r="4834" spans="1:2" x14ac:dyDescent="0.25">
      <c r="A4834" s="73"/>
      <c r="B4834" s="73"/>
    </row>
    <row r="4835" spans="1:2" x14ac:dyDescent="0.25">
      <c r="A4835" s="73"/>
      <c r="B4835" s="73"/>
    </row>
    <row r="4836" spans="1:2" x14ac:dyDescent="0.25">
      <c r="A4836" s="73"/>
      <c r="B4836" s="73"/>
    </row>
    <row r="4837" spans="1:2" x14ac:dyDescent="0.25">
      <c r="A4837" s="73"/>
      <c r="B4837" s="73"/>
    </row>
    <row r="4838" spans="1:2" x14ac:dyDescent="0.25">
      <c r="A4838" s="73"/>
      <c r="B4838" s="73"/>
    </row>
    <row r="4839" spans="1:2" x14ac:dyDescent="0.25">
      <c r="A4839" s="73"/>
      <c r="B4839" s="73"/>
    </row>
    <row r="4840" spans="1:2" x14ac:dyDescent="0.25">
      <c r="A4840" s="73"/>
      <c r="B4840" s="73"/>
    </row>
    <row r="4841" spans="1:2" x14ac:dyDescent="0.25">
      <c r="A4841" s="73"/>
      <c r="B4841" s="73"/>
    </row>
    <row r="4842" spans="1:2" x14ac:dyDescent="0.25">
      <c r="A4842" s="73"/>
      <c r="B4842" s="73"/>
    </row>
    <row r="4843" spans="1:2" x14ac:dyDescent="0.25">
      <c r="A4843" s="73"/>
      <c r="B4843" s="73"/>
    </row>
    <row r="4844" spans="1:2" x14ac:dyDescent="0.25">
      <c r="A4844" s="73"/>
      <c r="B4844" s="73"/>
    </row>
    <row r="4845" spans="1:2" x14ac:dyDescent="0.25">
      <c r="A4845" s="73"/>
      <c r="B4845" s="73"/>
    </row>
    <row r="4846" spans="1:2" x14ac:dyDescent="0.25">
      <c r="A4846" s="73"/>
      <c r="B4846" s="73"/>
    </row>
    <row r="4847" spans="1:2" x14ac:dyDescent="0.25">
      <c r="A4847" s="73"/>
      <c r="B4847" s="73"/>
    </row>
    <row r="4848" spans="1:2" x14ac:dyDescent="0.25">
      <c r="A4848" s="73"/>
      <c r="B4848" s="73"/>
    </row>
    <row r="4849" spans="1:2" x14ac:dyDescent="0.25">
      <c r="A4849" s="73"/>
      <c r="B4849" s="73"/>
    </row>
    <row r="4850" spans="1:2" x14ac:dyDescent="0.25">
      <c r="A4850" s="73"/>
      <c r="B4850" s="73"/>
    </row>
    <row r="4851" spans="1:2" x14ac:dyDescent="0.25">
      <c r="A4851" s="73"/>
      <c r="B4851" s="73"/>
    </row>
    <row r="4852" spans="1:2" x14ac:dyDescent="0.25">
      <c r="A4852" s="73"/>
      <c r="B4852" s="73"/>
    </row>
    <row r="4853" spans="1:2" x14ac:dyDescent="0.25">
      <c r="A4853" s="73"/>
      <c r="B4853" s="73"/>
    </row>
    <row r="4854" spans="1:2" x14ac:dyDescent="0.25">
      <c r="A4854" s="73"/>
      <c r="B4854" s="73"/>
    </row>
    <row r="4855" spans="1:2" x14ac:dyDescent="0.25">
      <c r="A4855" s="73"/>
      <c r="B4855" s="73"/>
    </row>
    <row r="4856" spans="1:2" x14ac:dyDescent="0.25">
      <c r="A4856" s="73"/>
      <c r="B4856" s="73"/>
    </row>
    <row r="4857" spans="1:2" x14ac:dyDescent="0.25">
      <c r="A4857" s="73"/>
      <c r="B4857" s="73"/>
    </row>
    <row r="4858" spans="1:2" x14ac:dyDescent="0.25">
      <c r="A4858" s="73"/>
      <c r="B4858" s="73"/>
    </row>
    <row r="4859" spans="1:2" x14ac:dyDescent="0.25">
      <c r="A4859" s="73"/>
      <c r="B4859" s="73"/>
    </row>
    <row r="4860" spans="1:2" x14ac:dyDescent="0.25">
      <c r="A4860" s="73"/>
      <c r="B4860" s="73"/>
    </row>
    <row r="4861" spans="1:2" x14ac:dyDescent="0.25">
      <c r="A4861" s="73"/>
      <c r="B4861" s="73"/>
    </row>
    <row r="4862" spans="1:2" x14ac:dyDescent="0.25">
      <c r="A4862" s="73"/>
      <c r="B4862" s="73"/>
    </row>
    <row r="4863" spans="1:2" x14ac:dyDescent="0.25">
      <c r="A4863" s="73"/>
      <c r="B4863" s="73"/>
    </row>
    <row r="4864" spans="1:2" x14ac:dyDescent="0.25">
      <c r="A4864" s="73"/>
      <c r="B4864" s="73"/>
    </row>
    <row r="4865" spans="1:2" x14ac:dyDescent="0.25">
      <c r="A4865" s="73"/>
      <c r="B4865" s="73"/>
    </row>
    <row r="4866" spans="1:2" x14ac:dyDescent="0.25">
      <c r="A4866" s="73"/>
      <c r="B4866" s="73"/>
    </row>
    <row r="4867" spans="1:2" x14ac:dyDescent="0.25">
      <c r="A4867" s="73"/>
      <c r="B4867" s="73"/>
    </row>
    <row r="4868" spans="1:2" x14ac:dyDescent="0.25">
      <c r="A4868" s="73"/>
      <c r="B4868" s="73"/>
    </row>
    <row r="4869" spans="1:2" x14ac:dyDescent="0.25">
      <c r="A4869" s="73"/>
      <c r="B4869" s="73"/>
    </row>
    <row r="4870" spans="1:2" x14ac:dyDescent="0.25">
      <c r="A4870" s="73"/>
      <c r="B4870" s="73"/>
    </row>
    <row r="4871" spans="1:2" x14ac:dyDescent="0.25">
      <c r="A4871" s="73"/>
      <c r="B4871" s="73"/>
    </row>
    <row r="4872" spans="1:2" x14ac:dyDescent="0.25">
      <c r="A4872" s="73"/>
      <c r="B4872" s="73"/>
    </row>
    <row r="4873" spans="1:2" x14ac:dyDescent="0.25">
      <c r="A4873" s="73"/>
      <c r="B4873" s="73"/>
    </row>
    <row r="4874" spans="1:2" x14ac:dyDescent="0.25">
      <c r="A4874" s="73"/>
      <c r="B4874" s="73"/>
    </row>
    <row r="4875" spans="1:2" x14ac:dyDescent="0.25">
      <c r="A4875" s="73"/>
      <c r="B4875" s="73"/>
    </row>
    <row r="4876" spans="1:2" x14ac:dyDescent="0.25">
      <c r="A4876" s="73"/>
      <c r="B4876" s="73"/>
    </row>
    <row r="4877" spans="1:2" x14ac:dyDescent="0.25">
      <c r="A4877" s="73"/>
      <c r="B4877" s="73"/>
    </row>
    <row r="4878" spans="1:2" x14ac:dyDescent="0.25">
      <c r="A4878" s="73"/>
      <c r="B4878" s="73"/>
    </row>
    <row r="4879" spans="1:2" x14ac:dyDescent="0.25">
      <c r="A4879" s="73"/>
      <c r="B4879" s="73"/>
    </row>
    <row r="4880" spans="1:2" x14ac:dyDescent="0.25">
      <c r="A4880" s="73"/>
      <c r="B4880" s="73"/>
    </row>
    <row r="4881" spans="1:2" x14ac:dyDescent="0.25">
      <c r="A4881" s="73"/>
      <c r="B4881" s="73"/>
    </row>
    <row r="4882" spans="1:2" x14ac:dyDescent="0.25">
      <c r="A4882" s="73"/>
      <c r="B4882" s="73"/>
    </row>
    <row r="4883" spans="1:2" x14ac:dyDescent="0.25">
      <c r="A4883" s="73"/>
      <c r="B4883" s="73"/>
    </row>
    <row r="4884" spans="1:2" x14ac:dyDescent="0.25">
      <c r="A4884" s="73"/>
      <c r="B4884" s="73"/>
    </row>
    <row r="4885" spans="1:2" x14ac:dyDescent="0.25">
      <c r="A4885" s="73"/>
      <c r="B4885" s="73"/>
    </row>
    <row r="4886" spans="1:2" x14ac:dyDescent="0.25">
      <c r="A4886" s="73"/>
      <c r="B4886" s="73"/>
    </row>
    <row r="4887" spans="1:2" x14ac:dyDescent="0.25">
      <c r="A4887" s="73"/>
      <c r="B4887" s="73"/>
    </row>
    <row r="4888" spans="1:2" x14ac:dyDescent="0.25">
      <c r="A4888" s="73"/>
      <c r="B4888" s="73"/>
    </row>
    <row r="4889" spans="1:2" x14ac:dyDescent="0.25">
      <c r="A4889" s="73"/>
      <c r="B4889" s="73"/>
    </row>
    <row r="4890" spans="1:2" x14ac:dyDescent="0.25">
      <c r="A4890" s="73"/>
      <c r="B4890" s="73"/>
    </row>
    <row r="4891" spans="1:2" x14ac:dyDescent="0.25">
      <c r="A4891" s="73"/>
      <c r="B4891" s="73"/>
    </row>
    <row r="4892" spans="1:2" x14ac:dyDescent="0.25">
      <c r="A4892" s="73"/>
      <c r="B4892" s="73"/>
    </row>
    <row r="4893" spans="1:2" x14ac:dyDescent="0.25">
      <c r="A4893" s="73"/>
      <c r="B4893" s="73"/>
    </row>
    <row r="4894" spans="1:2" x14ac:dyDescent="0.25">
      <c r="A4894" s="73"/>
      <c r="B4894" s="73"/>
    </row>
    <row r="4895" spans="1:2" x14ac:dyDescent="0.25">
      <c r="A4895" s="73"/>
      <c r="B4895" s="73"/>
    </row>
    <row r="4896" spans="1:2" x14ac:dyDescent="0.25">
      <c r="A4896" s="73"/>
      <c r="B4896" s="73"/>
    </row>
    <row r="4897" spans="1:2" x14ac:dyDescent="0.25">
      <c r="A4897" s="73"/>
      <c r="B4897" s="73"/>
    </row>
    <row r="4898" spans="1:2" x14ac:dyDescent="0.25">
      <c r="A4898" s="73"/>
      <c r="B4898" s="73"/>
    </row>
    <row r="4899" spans="1:2" x14ac:dyDescent="0.25">
      <c r="A4899" s="73"/>
      <c r="B4899" s="73"/>
    </row>
    <row r="4900" spans="1:2" x14ac:dyDescent="0.25">
      <c r="A4900" s="73"/>
      <c r="B4900" s="73"/>
    </row>
    <row r="4901" spans="1:2" x14ac:dyDescent="0.25">
      <c r="A4901" s="73"/>
      <c r="B4901" s="73"/>
    </row>
    <row r="4902" spans="1:2" x14ac:dyDescent="0.25">
      <c r="A4902" s="73"/>
      <c r="B4902" s="73"/>
    </row>
    <row r="4903" spans="1:2" x14ac:dyDescent="0.25">
      <c r="A4903" s="73"/>
      <c r="B4903" s="73"/>
    </row>
    <row r="4904" spans="1:2" x14ac:dyDescent="0.25">
      <c r="A4904" s="73"/>
      <c r="B4904" s="73"/>
    </row>
    <row r="4905" spans="1:2" x14ac:dyDescent="0.25">
      <c r="A4905" s="73"/>
      <c r="B4905" s="73"/>
    </row>
    <row r="4906" spans="1:2" x14ac:dyDescent="0.25">
      <c r="A4906" s="73"/>
      <c r="B4906" s="73"/>
    </row>
    <row r="4907" spans="1:2" x14ac:dyDescent="0.25">
      <c r="A4907" s="73"/>
      <c r="B4907" s="73"/>
    </row>
    <row r="4908" spans="1:2" x14ac:dyDescent="0.25">
      <c r="A4908" s="73"/>
      <c r="B4908" s="73"/>
    </row>
    <row r="4909" spans="1:2" x14ac:dyDescent="0.25">
      <c r="A4909" s="73"/>
      <c r="B4909" s="73"/>
    </row>
    <row r="4910" spans="1:2" x14ac:dyDescent="0.25">
      <c r="A4910" s="73"/>
      <c r="B4910" s="73"/>
    </row>
    <row r="4911" spans="1:2" x14ac:dyDescent="0.25">
      <c r="A4911" s="73"/>
      <c r="B4911" s="73"/>
    </row>
    <row r="4912" spans="1:2" x14ac:dyDescent="0.25">
      <c r="A4912" s="73"/>
      <c r="B4912" s="73"/>
    </row>
    <row r="4913" spans="1:2" x14ac:dyDescent="0.25">
      <c r="A4913" s="73"/>
      <c r="B4913" s="73"/>
    </row>
    <row r="4914" spans="1:2" x14ac:dyDescent="0.25">
      <c r="A4914" s="73"/>
      <c r="B4914" s="73"/>
    </row>
    <row r="4915" spans="1:2" x14ac:dyDescent="0.25">
      <c r="A4915" s="73"/>
      <c r="B4915" s="73"/>
    </row>
    <row r="4916" spans="1:2" x14ac:dyDescent="0.25">
      <c r="A4916" s="73"/>
      <c r="B4916" s="73"/>
    </row>
    <row r="4917" spans="1:2" x14ac:dyDescent="0.25">
      <c r="A4917" s="73"/>
      <c r="B4917" s="73"/>
    </row>
    <row r="4918" spans="1:2" x14ac:dyDescent="0.25">
      <c r="A4918" s="73"/>
      <c r="B4918" s="73"/>
    </row>
    <row r="4919" spans="1:2" x14ac:dyDescent="0.25">
      <c r="A4919" s="73"/>
      <c r="B4919" s="73"/>
    </row>
    <row r="4920" spans="1:2" x14ac:dyDescent="0.25">
      <c r="A4920" s="73"/>
      <c r="B4920" s="73"/>
    </row>
    <row r="4921" spans="1:2" x14ac:dyDescent="0.25">
      <c r="A4921" s="73"/>
      <c r="B4921" s="73"/>
    </row>
    <row r="4922" spans="1:2" x14ac:dyDescent="0.25">
      <c r="A4922" s="73"/>
      <c r="B4922" s="73"/>
    </row>
    <row r="4923" spans="1:2" x14ac:dyDescent="0.25">
      <c r="A4923" s="73"/>
      <c r="B4923" s="73"/>
    </row>
    <row r="4924" spans="1:2" x14ac:dyDescent="0.25">
      <c r="A4924" s="73"/>
      <c r="B4924" s="73"/>
    </row>
    <row r="4925" spans="1:2" x14ac:dyDescent="0.25">
      <c r="A4925" s="73"/>
      <c r="B4925" s="73"/>
    </row>
    <row r="4926" spans="1:2" x14ac:dyDescent="0.25">
      <c r="A4926" s="73"/>
      <c r="B4926" s="73"/>
    </row>
    <row r="4927" spans="1:2" x14ac:dyDescent="0.25">
      <c r="A4927" s="73"/>
      <c r="B4927" s="73"/>
    </row>
    <row r="4928" spans="1:2" x14ac:dyDescent="0.25">
      <c r="A4928" s="73"/>
      <c r="B4928" s="73"/>
    </row>
    <row r="4929" spans="1:2" x14ac:dyDescent="0.25">
      <c r="A4929" s="73"/>
      <c r="B4929" s="73"/>
    </row>
    <row r="4930" spans="1:2" x14ac:dyDescent="0.25">
      <c r="A4930" s="73"/>
      <c r="B4930" s="73"/>
    </row>
    <row r="4931" spans="1:2" x14ac:dyDescent="0.25">
      <c r="A4931" s="73"/>
      <c r="B4931" s="73"/>
    </row>
    <row r="4932" spans="1:2" x14ac:dyDescent="0.25">
      <c r="A4932" s="73"/>
      <c r="B4932" s="73"/>
    </row>
    <row r="4933" spans="1:2" x14ac:dyDescent="0.25">
      <c r="A4933" s="73"/>
      <c r="B4933" s="73"/>
    </row>
    <row r="4934" spans="1:2" x14ac:dyDescent="0.25">
      <c r="A4934" s="73"/>
      <c r="B4934" s="73"/>
    </row>
    <row r="4935" spans="1:2" x14ac:dyDescent="0.25">
      <c r="A4935" s="73"/>
      <c r="B4935" s="73"/>
    </row>
    <row r="4936" spans="1:2" x14ac:dyDescent="0.25">
      <c r="A4936" s="73"/>
      <c r="B4936" s="73"/>
    </row>
    <row r="4937" spans="1:2" x14ac:dyDescent="0.25">
      <c r="A4937" s="73"/>
      <c r="B4937" s="73"/>
    </row>
    <row r="4938" spans="1:2" x14ac:dyDescent="0.25">
      <c r="A4938" s="73"/>
      <c r="B4938" s="73"/>
    </row>
    <row r="4939" spans="1:2" x14ac:dyDescent="0.25">
      <c r="A4939" s="73"/>
      <c r="B4939" s="73"/>
    </row>
    <row r="4940" spans="1:2" x14ac:dyDescent="0.25">
      <c r="A4940" s="73"/>
      <c r="B4940" s="73"/>
    </row>
    <row r="4941" spans="1:2" x14ac:dyDescent="0.25">
      <c r="A4941" s="73"/>
      <c r="B4941" s="73"/>
    </row>
    <row r="4942" spans="1:2" x14ac:dyDescent="0.25">
      <c r="A4942" s="73"/>
      <c r="B4942" s="73"/>
    </row>
    <row r="4943" spans="1:2" x14ac:dyDescent="0.25">
      <c r="A4943" s="73"/>
      <c r="B4943" s="73"/>
    </row>
    <row r="4944" spans="1:2" x14ac:dyDescent="0.25">
      <c r="A4944" s="73"/>
      <c r="B4944" s="73"/>
    </row>
    <row r="4945" spans="1:2" x14ac:dyDescent="0.25">
      <c r="A4945" s="73"/>
      <c r="B4945" s="73"/>
    </row>
    <row r="4946" spans="1:2" x14ac:dyDescent="0.25">
      <c r="A4946" s="73"/>
      <c r="B4946" s="73"/>
    </row>
    <row r="4947" spans="1:2" x14ac:dyDescent="0.25">
      <c r="A4947" s="73"/>
      <c r="B4947" s="73"/>
    </row>
    <row r="4948" spans="1:2" x14ac:dyDescent="0.25">
      <c r="A4948" s="73"/>
      <c r="B4948" s="73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74803149606299213" header="0.31496062992125984" footer="0.31496062992125984"/>
  <pageSetup paperSize="9" scale="68" orientation="landscape" r:id="rId1"/>
  <headerFooter>
    <oddHeader>&amp;R&amp;"Times New Roman CE,Félkövér"&amp;11 3. melléklet a 28/2016.(VI.24.) önkormányzati rendelethez&amp;"Times New Roman CE,Dőlt"&amp;10
3. melléklet
a 3/2016.(II.12.) önkormányzati rendelethez</oddHeader>
    <oddFooter>&amp;C&amp;P.oldal</oddFooter>
  </headerFooter>
  <rowBreaks count="2" manualBreakCount="2">
    <brk id="27" max="16383" man="1"/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9"/>
  <sheetViews>
    <sheetView zoomScaleNormal="100" workbookViewId="0">
      <selection activeCell="E30" sqref="E30"/>
    </sheetView>
  </sheetViews>
  <sheetFormatPr defaultRowHeight="15.75" x14ac:dyDescent="0.25"/>
  <cols>
    <col min="1" max="1" width="35.75" style="92" customWidth="1"/>
    <col min="2" max="2" width="11" style="92" customWidth="1"/>
    <col min="3" max="3" width="14.75" style="114" customWidth="1"/>
    <col min="4" max="4" width="14.5" style="114" customWidth="1"/>
    <col min="5" max="5" width="15" style="114" customWidth="1"/>
    <col min="6" max="6" width="14.375" style="114" customWidth="1"/>
    <col min="7" max="7" width="14.25" style="114" customWidth="1"/>
    <col min="8" max="8" width="14.625" style="114" customWidth="1"/>
    <col min="9" max="9" width="14.75" style="114" customWidth="1"/>
    <col min="10" max="10" width="14.375" style="114" customWidth="1"/>
    <col min="11" max="11" width="14.75" style="114" customWidth="1"/>
    <col min="12" max="254" width="9" style="92"/>
  </cols>
  <sheetData>
    <row r="1" spans="1:254" x14ac:dyDescent="0.25">
      <c r="A1" s="945" t="s">
        <v>238</v>
      </c>
      <c r="B1" s="945"/>
      <c r="C1" s="945"/>
      <c r="D1" s="945"/>
      <c r="E1" s="945"/>
      <c r="F1" s="945"/>
      <c r="G1" s="945"/>
      <c r="H1" s="945"/>
      <c r="I1" s="945"/>
      <c r="J1" s="945"/>
      <c r="K1" s="945"/>
    </row>
    <row r="2" spans="1:254" x14ac:dyDescent="0.25">
      <c r="A2" s="945" t="s">
        <v>469</v>
      </c>
      <c r="B2" s="945"/>
      <c r="C2" s="945"/>
      <c r="D2" s="945"/>
      <c r="E2" s="945"/>
      <c r="F2" s="945"/>
      <c r="G2" s="945"/>
      <c r="H2" s="945"/>
      <c r="I2" s="945"/>
      <c r="J2" s="945"/>
      <c r="K2" s="945"/>
    </row>
    <row r="3" spans="1:254" x14ac:dyDescent="0.25">
      <c r="A3" s="945" t="s">
        <v>944</v>
      </c>
      <c r="B3" s="945"/>
      <c r="C3" s="945"/>
      <c r="D3" s="945"/>
      <c r="E3" s="945"/>
      <c r="F3" s="945"/>
      <c r="G3" s="945"/>
      <c r="H3" s="945"/>
      <c r="I3" s="945"/>
      <c r="J3" s="945"/>
      <c r="K3" s="945"/>
    </row>
    <row r="5" spans="1:254" ht="16.5" thickBot="1" x14ac:dyDescent="0.3"/>
    <row r="6" spans="1:254" ht="46.5" customHeight="1" thickTop="1" thickBot="1" x14ac:dyDescent="0.3">
      <c r="A6" s="953" t="s">
        <v>184</v>
      </c>
      <c r="B6" s="953" t="s">
        <v>201</v>
      </c>
      <c r="C6" s="936" t="s">
        <v>22</v>
      </c>
      <c r="D6" s="937"/>
      <c r="E6" s="938"/>
      <c r="F6" s="946" t="s">
        <v>239</v>
      </c>
      <c r="G6" s="947"/>
      <c r="H6" s="948"/>
      <c r="I6" s="955" t="s">
        <v>191</v>
      </c>
      <c r="J6" s="956"/>
      <c r="K6" s="95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54" ht="33" thickTop="1" thickBot="1" x14ac:dyDescent="0.3">
      <c r="A7" s="954"/>
      <c r="B7" s="954"/>
      <c r="C7" s="508" t="s">
        <v>653</v>
      </c>
      <c r="D7" s="538" t="s">
        <v>654</v>
      </c>
      <c r="E7" s="538" t="s">
        <v>835</v>
      </c>
      <c r="F7" s="538" t="s">
        <v>653</v>
      </c>
      <c r="G7" s="538" t="s">
        <v>654</v>
      </c>
      <c r="H7" s="538" t="s">
        <v>835</v>
      </c>
      <c r="I7" s="538" t="s">
        <v>653</v>
      </c>
      <c r="J7" s="509" t="s">
        <v>654</v>
      </c>
      <c r="K7" s="509" t="s">
        <v>835</v>
      </c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</row>
    <row r="8" spans="1:254" ht="17.25" thickTop="1" thickBot="1" x14ac:dyDescent="0.3">
      <c r="A8" s="236" t="s">
        <v>185</v>
      </c>
      <c r="B8" s="238"/>
      <c r="C8" s="8" t="s">
        <v>240</v>
      </c>
      <c r="D8" s="8" t="s">
        <v>655</v>
      </c>
      <c r="E8" s="8" t="s">
        <v>656</v>
      </c>
      <c r="F8" s="237" t="s">
        <v>241</v>
      </c>
      <c r="G8" s="237" t="s">
        <v>657</v>
      </c>
      <c r="H8" s="237" t="s">
        <v>658</v>
      </c>
      <c r="I8" s="8" t="s">
        <v>242</v>
      </c>
      <c r="J8" s="8" t="s">
        <v>659</v>
      </c>
      <c r="K8" s="8" t="s">
        <v>660</v>
      </c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</row>
    <row r="9" spans="1:254" ht="16.5" thickTop="1" x14ac:dyDescent="0.25">
      <c r="A9" s="83" t="s">
        <v>28</v>
      </c>
      <c r="B9" s="83" t="s">
        <v>202</v>
      </c>
      <c r="C9" s="87">
        <v>223534</v>
      </c>
      <c r="D9" s="87">
        <v>29506</v>
      </c>
      <c r="E9" s="87">
        <f>SUM(C9:D9)</f>
        <v>253040</v>
      </c>
      <c r="F9" s="87">
        <v>6113402</v>
      </c>
      <c r="G9" s="87">
        <v>101084</v>
      </c>
      <c r="H9" s="87">
        <f>SUM(F9:G9)</f>
        <v>6214486</v>
      </c>
      <c r="I9" s="288">
        <f>SUM(C9+F9)</f>
        <v>6336936</v>
      </c>
      <c r="J9" s="288">
        <f t="shared" ref="J9:K13" si="0">SUM(D9+G9)</f>
        <v>130590</v>
      </c>
      <c r="K9" s="288">
        <f t="shared" si="0"/>
        <v>6467526</v>
      </c>
    </row>
    <row r="10" spans="1:254" ht="31.5" x14ac:dyDescent="0.25">
      <c r="A10" s="93" t="s">
        <v>29</v>
      </c>
      <c r="B10" s="93" t="s">
        <v>203</v>
      </c>
      <c r="C10" s="94">
        <v>74489</v>
      </c>
      <c r="D10" s="94">
        <v>8003</v>
      </c>
      <c r="E10" s="94">
        <f t="shared" ref="E10:E13" si="1">SUM(C10:D10)</f>
        <v>82492</v>
      </c>
      <c r="F10" s="94">
        <v>1715998</v>
      </c>
      <c r="G10" s="94">
        <v>28852</v>
      </c>
      <c r="H10" s="94">
        <f>SUM(F10:G10)</f>
        <v>1744850</v>
      </c>
      <c r="I10" s="99">
        <f>SUM(C10+F10)</f>
        <v>1790487</v>
      </c>
      <c r="J10" s="99">
        <f t="shared" si="0"/>
        <v>36855</v>
      </c>
      <c r="K10" s="99">
        <f t="shared" si="0"/>
        <v>1827342</v>
      </c>
    </row>
    <row r="11" spans="1:254" x14ac:dyDescent="0.25">
      <c r="A11" s="100" t="s">
        <v>30</v>
      </c>
      <c r="B11" s="100" t="s">
        <v>204</v>
      </c>
      <c r="C11" s="94">
        <v>5713434</v>
      </c>
      <c r="D11" s="94">
        <v>17448</v>
      </c>
      <c r="E11" s="94">
        <f t="shared" si="1"/>
        <v>5730882</v>
      </c>
      <c r="F11" s="94">
        <v>4561989</v>
      </c>
      <c r="G11" s="94">
        <v>32255</v>
      </c>
      <c r="H11" s="94">
        <f t="shared" ref="H11:H17" si="2">SUM(F11:G11)</f>
        <v>4594244</v>
      </c>
      <c r="I11" s="99">
        <f>SUM(C11+F11)</f>
        <v>10275423</v>
      </c>
      <c r="J11" s="99">
        <f t="shared" si="0"/>
        <v>49703</v>
      </c>
      <c r="K11" s="99">
        <f t="shared" si="0"/>
        <v>10325126</v>
      </c>
    </row>
    <row r="12" spans="1:254" x14ac:dyDescent="0.25">
      <c r="A12" s="100" t="s">
        <v>235</v>
      </c>
      <c r="B12" s="100" t="s">
        <v>205</v>
      </c>
      <c r="C12" s="94">
        <v>60875</v>
      </c>
      <c r="D12" s="94">
        <v>-614</v>
      </c>
      <c r="E12" s="94">
        <f t="shared" si="1"/>
        <v>60261</v>
      </c>
      <c r="F12" s="94">
        <v>11184</v>
      </c>
      <c r="G12" s="94">
        <v>498</v>
      </c>
      <c r="H12" s="94">
        <f t="shared" si="2"/>
        <v>11682</v>
      </c>
      <c r="I12" s="99">
        <f>SUM(C12+F12)</f>
        <v>72059</v>
      </c>
      <c r="J12" s="99">
        <f t="shared" si="0"/>
        <v>-116</v>
      </c>
      <c r="K12" s="99">
        <f t="shared" si="0"/>
        <v>71943</v>
      </c>
    </row>
    <row r="13" spans="1:254" ht="31.5" x14ac:dyDescent="0.25">
      <c r="A13" s="93" t="s">
        <v>236</v>
      </c>
      <c r="B13" s="93" t="s">
        <v>424</v>
      </c>
      <c r="C13" s="94">
        <v>6371682</v>
      </c>
      <c r="D13" s="87">
        <v>114161</v>
      </c>
      <c r="E13" s="94">
        <f t="shared" si="1"/>
        <v>6485843</v>
      </c>
      <c r="F13" s="87">
        <v>0</v>
      </c>
      <c r="G13" s="87">
        <v>1981</v>
      </c>
      <c r="H13" s="94">
        <f t="shared" si="2"/>
        <v>1981</v>
      </c>
      <c r="I13" s="99">
        <f>SUM(C13+F13)</f>
        <v>6371682</v>
      </c>
      <c r="J13" s="99">
        <f t="shared" si="0"/>
        <v>116142</v>
      </c>
      <c r="K13" s="99">
        <f t="shared" si="0"/>
        <v>6487824</v>
      </c>
    </row>
    <row r="14" spans="1:254" ht="31.5" x14ac:dyDescent="0.25">
      <c r="A14" s="505" t="s">
        <v>608</v>
      </c>
      <c r="B14" s="105"/>
      <c r="C14" s="106">
        <f>SUM(C9+C10+C11+C12+C13)</f>
        <v>12444014</v>
      </c>
      <c r="D14" s="106">
        <f t="shared" ref="D14:E14" si="3">SUM(D9+D10+D11+D12+D13)</f>
        <v>168504</v>
      </c>
      <c r="E14" s="106">
        <f t="shared" si="3"/>
        <v>12612518</v>
      </c>
      <c r="F14" s="106">
        <f>SUM(F9+F10+F11+F12+F13)</f>
        <v>12402573</v>
      </c>
      <c r="G14" s="106">
        <f t="shared" ref="G14:H14" si="4">SUM(G9+G10+G11+G12+G13)</f>
        <v>164670</v>
      </c>
      <c r="H14" s="106">
        <f t="shared" si="4"/>
        <v>12567243</v>
      </c>
      <c r="I14" s="106">
        <f>SUM(I9:I12,I13)</f>
        <v>24846587</v>
      </c>
      <c r="J14" s="106">
        <f t="shared" ref="J14:K14" si="5">SUM(J9:J12,J13)</f>
        <v>333174</v>
      </c>
      <c r="K14" s="106">
        <f t="shared" si="5"/>
        <v>25179761</v>
      </c>
    </row>
    <row r="15" spans="1:254" x14ac:dyDescent="0.25">
      <c r="A15" s="100" t="s">
        <v>209</v>
      </c>
      <c r="B15" s="100" t="s">
        <v>206</v>
      </c>
      <c r="C15" s="95">
        <v>18735663</v>
      </c>
      <c r="D15" s="95">
        <v>819004</v>
      </c>
      <c r="E15" s="95">
        <f>SUM(C15:D15)</f>
        <v>19554667</v>
      </c>
      <c r="F15" s="95">
        <v>134705</v>
      </c>
      <c r="G15" s="95">
        <v>13159</v>
      </c>
      <c r="H15" s="95">
        <f t="shared" si="2"/>
        <v>147864</v>
      </c>
      <c r="I15" s="99">
        <f>SUM(C15+F15)</f>
        <v>18870368</v>
      </c>
      <c r="J15" s="99">
        <f t="shared" ref="J15:K17" si="6">SUM(D15+G15)</f>
        <v>832163</v>
      </c>
      <c r="K15" s="99">
        <f t="shared" si="6"/>
        <v>19702531</v>
      </c>
    </row>
    <row r="16" spans="1:254" x14ac:dyDescent="0.25">
      <c r="A16" s="100" t="s">
        <v>210</v>
      </c>
      <c r="B16" s="100" t="s">
        <v>207</v>
      </c>
      <c r="C16" s="95">
        <v>1610858</v>
      </c>
      <c r="D16" s="95">
        <v>140039</v>
      </c>
      <c r="E16" s="95">
        <f>SUM(C16:D16)</f>
        <v>1750897</v>
      </c>
      <c r="F16" s="95">
        <v>26713</v>
      </c>
      <c r="G16" s="95">
        <v>5345</v>
      </c>
      <c r="H16" s="95">
        <f t="shared" si="2"/>
        <v>32058</v>
      </c>
      <c r="I16" s="99">
        <f>SUM(C16+F16)</f>
        <v>1637571</v>
      </c>
      <c r="J16" s="99">
        <f t="shared" si="6"/>
        <v>145384</v>
      </c>
      <c r="K16" s="99">
        <f t="shared" si="6"/>
        <v>1782955</v>
      </c>
    </row>
    <row r="17" spans="1:254" x14ac:dyDescent="0.25">
      <c r="A17" s="100" t="s">
        <v>343</v>
      </c>
      <c r="B17" s="100" t="s">
        <v>208</v>
      </c>
      <c r="C17" s="95">
        <v>361905</v>
      </c>
      <c r="D17" s="95">
        <v>39463</v>
      </c>
      <c r="E17" s="95">
        <f>SUM(C17:D17)</f>
        <v>401368</v>
      </c>
      <c r="F17" s="95"/>
      <c r="G17" s="95"/>
      <c r="H17" s="95">
        <f t="shared" si="2"/>
        <v>0</v>
      </c>
      <c r="I17" s="99">
        <f>SUM(C17+F17)</f>
        <v>361905</v>
      </c>
      <c r="J17" s="99">
        <f t="shared" si="6"/>
        <v>39463</v>
      </c>
      <c r="K17" s="99">
        <f t="shared" si="6"/>
        <v>401368</v>
      </c>
    </row>
    <row r="18" spans="1:254" ht="31.5" x14ac:dyDescent="0.25">
      <c r="A18" s="505" t="s">
        <v>609</v>
      </c>
      <c r="B18" s="223"/>
      <c r="C18" s="107">
        <f>SUM(C15:C17)</f>
        <v>20708426</v>
      </c>
      <c r="D18" s="107">
        <f t="shared" ref="D18:E18" si="7">SUM(D15:D17)</f>
        <v>998506</v>
      </c>
      <c r="E18" s="107">
        <f t="shared" si="7"/>
        <v>21706932</v>
      </c>
      <c r="F18" s="106">
        <f>SUM(F15:F17)</f>
        <v>161418</v>
      </c>
      <c r="G18" s="106">
        <f t="shared" ref="G18:H18" si="8">SUM(G15:G17)</f>
        <v>18504</v>
      </c>
      <c r="H18" s="106">
        <f t="shared" si="8"/>
        <v>179922</v>
      </c>
      <c r="I18" s="106">
        <f>SUM(I15:I17)</f>
        <v>20869844</v>
      </c>
      <c r="J18" s="106">
        <f t="shared" ref="J18:K18" si="9">SUM(J15:J17)</f>
        <v>1017010</v>
      </c>
      <c r="K18" s="106">
        <f t="shared" si="9"/>
        <v>21886854</v>
      </c>
    </row>
    <row r="19" spans="1:254" s="250" customFormat="1" x14ac:dyDescent="0.25">
      <c r="A19" s="246" t="s">
        <v>265</v>
      </c>
      <c r="B19" s="246"/>
      <c r="C19" s="247">
        <v>22317</v>
      </c>
      <c r="D19" s="247">
        <v>82523</v>
      </c>
      <c r="E19" s="247">
        <f>SUM(C19:D19)</f>
        <v>104840</v>
      </c>
      <c r="F19" s="247">
        <v>0</v>
      </c>
      <c r="G19" s="247"/>
      <c r="H19" s="247">
        <f>SUM(F19:G19)</f>
        <v>0</v>
      </c>
      <c r="I19" s="289">
        <f>SUM(C19+F19)</f>
        <v>22317</v>
      </c>
      <c r="J19" s="289">
        <f t="shared" ref="J19:K20" si="10">SUM(D19+G19)</f>
        <v>82523</v>
      </c>
      <c r="K19" s="289">
        <f t="shared" si="10"/>
        <v>104840</v>
      </c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49"/>
      <c r="BB19" s="249"/>
      <c r="BC19" s="249"/>
      <c r="BD19" s="249"/>
      <c r="BE19" s="249"/>
      <c r="BF19" s="249"/>
      <c r="BG19" s="249"/>
      <c r="BH19" s="249"/>
      <c r="BI19" s="249"/>
      <c r="BJ19" s="249"/>
      <c r="BK19" s="249"/>
      <c r="BL19" s="249"/>
      <c r="BM19" s="249"/>
      <c r="BN19" s="249"/>
      <c r="BO19" s="249"/>
      <c r="BP19" s="249"/>
      <c r="BQ19" s="249"/>
      <c r="BR19" s="249"/>
      <c r="BS19" s="249"/>
      <c r="BT19" s="249"/>
      <c r="BU19" s="249"/>
      <c r="BV19" s="249"/>
      <c r="BW19" s="249"/>
      <c r="BX19" s="249"/>
      <c r="BY19" s="249"/>
      <c r="BZ19" s="249"/>
      <c r="CA19" s="249"/>
      <c r="CB19" s="249"/>
      <c r="CC19" s="249"/>
      <c r="CD19" s="249"/>
      <c r="CE19" s="249"/>
      <c r="CF19" s="249"/>
      <c r="CG19" s="249"/>
      <c r="CH19" s="249"/>
      <c r="CI19" s="249"/>
      <c r="CJ19" s="249"/>
      <c r="CK19" s="249"/>
      <c r="CL19" s="249"/>
      <c r="CM19" s="249"/>
      <c r="CN19" s="249"/>
      <c r="CO19" s="249"/>
      <c r="CP19" s="249"/>
      <c r="CQ19" s="249"/>
      <c r="CR19" s="249"/>
      <c r="CS19" s="249"/>
      <c r="CT19" s="249"/>
      <c r="CU19" s="249"/>
      <c r="CV19" s="249"/>
      <c r="CW19" s="249"/>
      <c r="CX19" s="249"/>
      <c r="CY19" s="249"/>
      <c r="CZ19" s="249"/>
      <c r="DA19" s="249"/>
      <c r="DB19" s="249"/>
      <c r="DC19" s="249"/>
      <c r="DD19" s="249"/>
      <c r="DE19" s="249"/>
      <c r="DF19" s="249"/>
      <c r="DG19" s="249"/>
      <c r="DH19" s="249"/>
      <c r="DI19" s="249"/>
      <c r="DJ19" s="249"/>
      <c r="DK19" s="249"/>
      <c r="DL19" s="249"/>
      <c r="DM19" s="249"/>
      <c r="DN19" s="249"/>
      <c r="DO19" s="249"/>
      <c r="DP19" s="249"/>
      <c r="DQ19" s="249"/>
      <c r="DR19" s="249"/>
      <c r="DS19" s="249"/>
      <c r="DT19" s="249"/>
      <c r="DU19" s="249"/>
      <c r="DV19" s="249"/>
      <c r="DW19" s="249"/>
      <c r="DX19" s="249"/>
      <c r="DY19" s="249"/>
      <c r="DZ19" s="249"/>
      <c r="EA19" s="249"/>
      <c r="EB19" s="249"/>
      <c r="EC19" s="249"/>
      <c r="ED19" s="249"/>
      <c r="EE19" s="249"/>
      <c r="EF19" s="249"/>
      <c r="EG19" s="249"/>
      <c r="EH19" s="249"/>
      <c r="EI19" s="249"/>
      <c r="EJ19" s="249"/>
      <c r="EK19" s="249"/>
      <c r="EL19" s="249"/>
      <c r="EM19" s="249"/>
      <c r="EN19" s="249"/>
      <c r="EO19" s="249"/>
      <c r="EP19" s="249"/>
      <c r="EQ19" s="249"/>
      <c r="ER19" s="249"/>
      <c r="ES19" s="249"/>
      <c r="ET19" s="249"/>
      <c r="EU19" s="249"/>
      <c r="EV19" s="249"/>
      <c r="EW19" s="249"/>
      <c r="EX19" s="249"/>
      <c r="EY19" s="249"/>
      <c r="EZ19" s="249"/>
      <c r="FA19" s="249"/>
      <c r="FB19" s="249"/>
      <c r="FC19" s="249"/>
      <c r="FD19" s="249"/>
      <c r="FE19" s="249"/>
      <c r="FF19" s="249"/>
      <c r="FG19" s="249"/>
      <c r="FH19" s="249"/>
      <c r="FI19" s="249"/>
      <c r="FJ19" s="249"/>
      <c r="FK19" s="249"/>
      <c r="FL19" s="249"/>
      <c r="FM19" s="249"/>
      <c r="FN19" s="249"/>
      <c r="FO19" s="249"/>
      <c r="FP19" s="249"/>
      <c r="FQ19" s="249"/>
      <c r="FR19" s="249"/>
      <c r="FS19" s="249"/>
      <c r="FT19" s="249"/>
      <c r="FU19" s="249"/>
      <c r="FV19" s="249"/>
      <c r="FW19" s="249"/>
      <c r="FX19" s="249"/>
      <c r="FY19" s="249"/>
      <c r="FZ19" s="249"/>
      <c r="GA19" s="249"/>
      <c r="GB19" s="249"/>
      <c r="GC19" s="249"/>
      <c r="GD19" s="249"/>
      <c r="GE19" s="249"/>
      <c r="GF19" s="249"/>
      <c r="GG19" s="249"/>
      <c r="GH19" s="249"/>
      <c r="GI19" s="249"/>
      <c r="GJ19" s="249"/>
      <c r="GK19" s="249"/>
      <c r="GL19" s="249"/>
      <c r="GM19" s="249"/>
      <c r="GN19" s="249"/>
      <c r="GO19" s="249"/>
      <c r="GP19" s="249"/>
      <c r="GQ19" s="249"/>
      <c r="GR19" s="249"/>
      <c r="GS19" s="249"/>
      <c r="GT19" s="249"/>
      <c r="GU19" s="249"/>
      <c r="GV19" s="249"/>
      <c r="GW19" s="249"/>
      <c r="GX19" s="249"/>
      <c r="GY19" s="249"/>
      <c r="GZ19" s="249"/>
      <c r="HA19" s="249"/>
      <c r="HB19" s="249"/>
      <c r="HC19" s="249"/>
      <c r="HD19" s="249"/>
      <c r="HE19" s="249"/>
      <c r="HF19" s="249"/>
      <c r="HG19" s="249"/>
      <c r="HH19" s="249"/>
      <c r="HI19" s="249"/>
      <c r="HJ19" s="249"/>
      <c r="HK19" s="249"/>
      <c r="HL19" s="249"/>
      <c r="HM19" s="249"/>
      <c r="HN19" s="249"/>
      <c r="HO19" s="249"/>
      <c r="HP19" s="249"/>
      <c r="HQ19" s="249"/>
      <c r="HR19" s="249"/>
      <c r="HS19" s="249"/>
      <c r="HT19" s="249"/>
      <c r="HU19" s="249"/>
      <c r="HV19" s="249"/>
      <c r="HW19" s="249"/>
      <c r="HX19" s="249"/>
      <c r="HY19" s="249"/>
      <c r="HZ19" s="249"/>
      <c r="IA19" s="249"/>
      <c r="IB19" s="249"/>
      <c r="IC19" s="249"/>
      <c r="ID19" s="249"/>
      <c r="IE19" s="249"/>
      <c r="IF19" s="249"/>
      <c r="IG19" s="249"/>
      <c r="IH19" s="249"/>
      <c r="II19" s="249"/>
      <c r="IJ19" s="249"/>
      <c r="IK19" s="249"/>
      <c r="IL19" s="249"/>
      <c r="IM19" s="249"/>
      <c r="IN19" s="249"/>
      <c r="IO19" s="249"/>
      <c r="IP19" s="249"/>
      <c r="IQ19" s="249"/>
      <c r="IR19" s="249"/>
      <c r="IS19" s="249"/>
      <c r="IT19" s="249"/>
    </row>
    <row r="20" spans="1:254" s="250" customFormat="1" x14ac:dyDescent="0.25">
      <c r="A20" s="246" t="s">
        <v>266</v>
      </c>
      <c r="B20" s="255"/>
      <c r="C20" s="247">
        <v>6551787</v>
      </c>
      <c r="D20" s="247">
        <v>-44029</v>
      </c>
      <c r="E20" s="247">
        <f>SUM(C20:D20)</f>
        <v>6507758</v>
      </c>
      <c r="F20" s="247">
        <v>0</v>
      </c>
      <c r="G20" s="247"/>
      <c r="H20" s="247">
        <f>SUM(F20:G20)</f>
        <v>0</v>
      </c>
      <c r="I20" s="289">
        <f>SUM(C20+F20)</f>
        <v>6551787</v>
      </c>
      <c r="J20" s="289">
        <f t="shared" si="10"/>
        <v>-44029</v>
      </c>
      <c r="K20" s="289">
        <f t="shared" si="10"/>
        <v>6507758</v>
      </c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49"/>
      <c r="CY20" s="249"/>
      <c r="CZ20" s="249"/>
      <c r="DA20" s="249"/>
      <c r="DB20" s="249"/>
      <c r="DC20" s="249"/>
      <c r="DD20" s="249"/>
      <c r="DE20" s="249"/>
      <c r="DF20" s="249"/>
      <c r="DG20" s="249"/>
      <c r="DH20" s="249"/>
      <c r="DI20" s="249"/>
      <c r="DJ20" s="249"/>
      <c r="DK20" s="249"/>
      <c r="DL20" s="249"/>
      <c r="DM20" s="249"/>
      <c r="DN20" s="249"/>
      <c r="DO20" s="249"/>
      <c r="DP20" s="249"/>
      <c r="DQ20" s="249"/>
      <c r="DR20" s="249"/>
      <c r="DS20" s="249"/>
      <c r="DT20" s="249"/>
      <c r="DU20" s="249"/>
      <c r="DV20" s="249"/>
      <c r="DW20" s="249"/>
      <c r="DX20" s="249"/>
      <c r="DY20" s="249"/>
      <c r="DZ20" s="249"/>
      <c r="EA20" s="249"/>
      <c r="EB20" s="249"/>
      <c r="EC20" s="249"/>
      <c r="ED20" s="249"/>
      <c r="EE20" s="249"/>
      <c r="EF20" s="249"/>
      <c r="EG20" s="249"/>
      <c r="EH20" s="249"/>
      <c r="EI20" s="249"/>
      <c r="EJ20" s="249"/>
      <c r="EK20" s="249"/>
      <c r="EL20" s="249"/>
      <c r="EM20" s="249"/>
      <c r="EN20" s="249"/>
      <c r="EO20" s="249"/>
      <c r="EP20" s="249"/>
      <c r="EQ20" s="249"/>
      <c r="ER20" s="249"/>
      <c r="ES20" s="249"/>
      <c r="ET20" s="249"/>
      <c r="EU20" s="249"/>
      <c r="EV20" s="249"/>
      <c r="EW20" s="249"/>
      <c r="EX20" s="249"/>
      <c r="EY20" s="249"/>
      <c r="EZ20" s="249"/>
      <c r="FA20" s="249"/>
      <c r="FB20" s="249"/>
      <c r="FC20" s="249"/>
      <c r="FD20" s="249"/>
      <c r="FE20" s="249"/>
      <c r="FF20" s="249"/>
      <c r="FG20" s="249"/>
      <c r="FH20" s="249"/>
      <c r="FI20" s="249"/>
      <c r="FJ20" s="249"/>
      <c r="FK20" s="249"/>
      <c r="FL20" s="249"/>
      <c r="FM20" s="249"/>
      <c r="FN20" s="249"/>
      <c r="FO20" s="249"/>
      <c r="FP20" s="249"/>
      <c r="FQ20" s="249"/>
      <c r="FR20" s="249"/>
      <c r="FS20" s="249"/>
      <c r="FT20" s="249"/>
      <c r="FU20" s="249"/>
      <c r="FV20" s="249"/>
      <c r="FW20" s="249"/>
      <c r="FX20" s="249"/>
      <c r="FY20" s="249"/>
      <c r="FZ20" s="249"/>
      <c r="GA20" s="249"/>
      <c r="GB20" s="249"/>
      <c r="GC20" s="249"/>
      <c r="GD20" s="249"/>
      <c r="GE20" s="249"/>
      <c r="GF20" s="249"/>
      <c r="GG20" s="249"/>
      <c r="GH20" s="249"/>
      <c r="GI20" s="249"/>
      <c r="GJ20" s="249"/>
      <c r="GK20" s="249"/>
      <c r="GL20" s="249"/>
      <c r="GM20" s="249"/>
      <c r="GN20" s="249"/>
      <c r="GO20" s="249"/>
      <c r="GP20" s="249"/>
      <c r="GQ20" s="249"/>
      <c r="GR20" s="249"/>
      <c r="GS20" s="249"/>
      <c r="GT20" s="249"/>
      <c r="GU20" s="249"/>
      <c r="GV20" s="249"/>
      <c r="GW20" s="249"/>
      <c r="GX20" s="249"/>
      <c r="GY20" s="249"/>
      <c r="GZ20" s="249"/>
      <c r="HA20" s="249"/>
      <c r="HB20" s="249"/>
      <c r="HC20" s="249"/>
      <c r="HD20" s="249"/>
      <c r="HE20" s="249"/>
      <c r="HF20" s="249"/>
      <c r="HG20" s="249"/>
      <c r="HH20" s="249"/>
      <c r="HI20" s="249"/>
      <c r="HJ20" s="249"/>
      <c r="HK20" s="249"/>
      <c r="HL20" s="249"/>
      <c r="HM20" s="249"/>
      <c r="HN20" s="249"/>
      <c r="HO20" s="249"/>
      <c r="HP20" s="249"/>
      <c r="HQ20" s="249"/>
      <c r="HR20" s="249"/>
      <c r="HS20" s="249"/>
      <c r="HT20" s="249"/>
      <c r="HU20" s="249"/>
      <c r="HV20" s="249"/>
      <c r="HW20" s="249"/>
      <c r="HX20" s="249"/>
      <c r="HY20" s="249"/>
      <c r="HZ20" s="249"/>
      <c r="IA20" s="249"/>
      <c r="IB20" s="249"/>
      <c r="IC20" s="249"/>
      <c r="ID20" s="249"/>
      <c r="IE20" s="249"/>
      <c r="IF20" s="249"/>
      <c r="IG20" s="249"/>
      <c r="IH20" s="249"/>
      <c r="II20" s="249"/>
      <c r="IJ20" s="249"/>
      <c r="IK20" s="249"/>
      <c r="IL20" s="249"/>
      <c r="IM20" s="249"/>
      <c r="IN20" s="249"/>
      <c r="IO20" s="249"/>
      <c r="IP20" s="249"/>
      <c r="IQ20" s="249"/>
      <c r="IR20" s="249"/>
      <c r="IS20" s="249"/>
      <c r="IT20" s="249"/>
    </row>
    <row r="21" spans="1:254" s="254" customFormat="1" ht="16.5" thickBot="1" x14ac:dyDescent="0.3">
      <c r="A21" s="251" t="s">
        <v>267</v>
      </c>
      <c r="B21" s="256" t="s">
        <v>425</v>
      </c>
      <c r="C21" s="252">
        <f>SUM(C19:C20)</f>
        <v>6574104</v>
      </c>
      <c r="D21" s="252">
        <f t="shared" ref="D21:E21" si="11">SUM(D19:D20)</f>
        <v>38494</v>
      </c>
      <c r="E21" s="252">
        <f t="shared" si="11"/>
        <v>6612598</v>
      </c>
      <c r="F21" s="252">
        <f>SUM(F19:F20)</f>
        <v>0</v>
      </c>
      <c r="G21" s="252">
        <f t="shared" ref="G21:H21" si="12">SUM(G19:G20)</f>
        <v>0</v>
      </c>
      <c r="H21" s="252">
        <f t="shared" si="12"/>
        <v>0</v>
      </c>
      <c r="I21" s="323">
        <f>SUM(I19:I20)</f>
        <v>6574104</v>
      </c>
      <c r="J21" s="323">
        <f t="shared" ref="J21:K21" si="13">SUM(J19:J20)</f>
        <v>38494</v>
      </c>
      <c r="K21" s="323">
        <f t="shared" si="13"/>
        <v>6612598</v>
      </c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3"/>
      <c r="CA21" s="253"/>
      <c r="CB21" s="253"/>
      <c r="CC21" s="253"/>
      <c r="CD21" s="253"/>
      <c r="CE21" s="253"/>
      <c r="CF21" s="253"/>
      <c r="CG21" s="253"/>
      <c r="CH21" s="253"/>
      <c r="CI21" s="253"/>
      <c r="CJ21" s="253"/>
      <c r="CK21" s="253"/>
      <c r="CL21" s="253"/>
      <c r="CM21" s="253"/>
      <c r="CN21" s="253"/>
      <c r="CO21" s="253"/>
      <c r="CP21" s="253"/>
      <c r="CQ21" s="253"/>
      <c r="CR21" s="253"/>
      <c r="CS21" s="253"/>
      <c r="CT21" s="253"/>
      <c r="CU21" s="253"/>
      <c r="CV21" s="253"/>
      <c r="CW21" s="253"/>
      <c r="CX21" s="253"/>
      <c r="CY21" s="253"/>
      <c r="CZ21" s="253"/>
      <c r="DA21" s="253"/>
      <c r="DB21" s="253"/>
      <c r="DC21" s="253"/>
      <c r="DD21" s="253"/>
      <c r="DE21" s="253"/>
      <c r="DF21" s="253"/>
      <c r="DG21" s="253"/>
      <c r="DH21" s="253"/>
      <c r="DI21" s="253"/>
      <c r="DJ21" s="253"/>
      <c r="DK21" s="253"/>
      <c r="DL21" s="253"/>
      <c r="DM21" s="253"/>
      <c r="DN21" s="253"/>
      <c r="DO21" s="253"/>
      <c r="DP21" s="253"/>
      <c r="DQ21" s="253"/>
      <c r="DR21" s="253"/>
      <c r="DS21" s="253"/>
      <c r="DT21" s="253"/>
      <c r="DU21" s="253"/>
      <c r="DV21" s="253"/>
      <c r="DW21" s="253"/>
      <c r="DX21" s="253"/>
      <c r="DY21" s="253"/>
      <c r="DZ21" s="253"/>
      <c r="EA21" s="253"/>
      <c r="EB21" s="253"/>
      <c r="EC21" s="253"/>
      <c r="ED21" s="253"/>
      <c r="EE21" s="253"/>
      <c r="EF21" s="253"/>
      <c r="EG21" s="253"/>
      <c r="EH21" s="253"/>
      <c r="EI21" s="253"/>
      <c r="EJ21" s="253"/>
      <c r="EK21" s="253"/>
      <c r="EL21" s="253"/>
      <c r="EM21" s="253"/>
      <c r="EN21" s="253"/>
      <c r="EO21" s="253"/>
      <c r="EP21" s="253"/>
      <c r="EQ21" s="253"/>
      <c r="ER21" s="253"/>
      <c r="ES21" s="253"/>
      <c r="ET21" s="253"/>
      <c r="EU21" s="253"/>
      <c r="EV21" s="253"/>
      <c r="EW21" s="253"/>
      <c r="EX21" s="253"/>
      <c r="EY21" s="253"/>
      <c r="EZ21" s="253"/>
      <c r="FA21" s="253"/>
      <c r="FB21" s="253"/>
      <c r="FC21" s="253"/>
      <c r="FD21" s="253"/>
      <c r="FE21" s="253"/>
      <c r="FF21" s="253"/>
      <c r="FG21" s="253"/>
      <c r="FH21" s="253"/>
      <c r="FI21" s="253"/>
      <c r="FJ21" s="253"/>
      <c r="FK21" s="253"/>
      <c r="FL21" s="253"/>
      <c r="FM21" s="253"/>
      <c r="FN21" s="253"/>
      <c r="FO21" s="253"/>
      <c r="FP21" s="253"/>
      <c r="FQ21" s="253"/>
      <c r="FR21" s="253"/>
      <c r="FS21" s="253"/>
      <c r="FT21" s="253"/>
      <c r="FU21" s="253"/>
      <c r="FV21" s="253"/>
      <c r="FW21" s="253"/>
      <c r="FX21" s="253"/>
      <c r="FY21" s="253"/>
      <c r="FZ21" s="253"/>
      <c r="GA21" s="253"/>
      <c r="GB21" s="253"/>
      <c r="GC21" s="253"/>
      <c r="GD21" s="253"/>
      <c r="GE21" s="253"/>
      <c r="GF21" s="253"/>
      <c r="GG21" s="253"/>
      <c r="GH21" s="253"/>
      <c r="GI21" s="253"/>
      <c r="GJ21" s="253"/>
      <c r="GK21" s="253"/>
      <c r="GL21" s="253"/>
      <c r="GM21" s="253"/>
      <c r="GN21" s="253"/>
      <c r="GO21" s="253"/>
      <c r="GP21" s="253"/>
      <c r="GQ21" s="253"/>
      <c r="GR21" s="253"/>
      <c r="GS21" s="253"/>
      <c r="GT21" s="253"/>
      <c r="GU21" s="253"/>
      <c r="GV21" s="253"/>
      <c r="GW21" s="253"/>
      <c r="GX21" s="253"/>
      <c r="GY21" s="253"/>
      <c r="GZ21" s="253"/>
      <c r="HA21" s="253"/>
      <c r="HB21" s="253"/>
      <c r="HC21" s="253"/>
      <c r="HD21" s="253"/>
      <c r="HE21" s="253"/>
      <c r="HF21" s="253"/>
      <c r="HG21" s="253"/>
      <c r="HH21" s="253"/>
      <c r="HI21" s="253"/>
      <c r="HJ21" s="253"/>
      <c r="HK21" s="253"/>
      <c r="HL21" s="253"/>
      <c r="HM21" s="253"/>
      <c r="HN21" s="253"/>
      <c r="HO21" s="253"/>
      <c r="HP21" s="253"/>
      <c r="HQ21" s="253"/>
      <c r="HR21" s="253"/>
      <c r="HS21" s="253"/>
      <c r="HT21" s="253"/>
      <c r="HU21" s="253"/>
      <c r="HV21" s="253"/>
      <c r="HW21" s="253"/>
      <c r="HX21" s="253"/>
      <c r="HY21" s="253"/>
      <c r="HZ21" s="253"/>
      <c r="IA21" s="253"/>
      <c r="IB21" s="253"/>
      <c r="IC21" s="253"/>
      <c r="ID21" s="253"/>
      <c r="IE21" s="253"/>
      <c r="IF21" s="253"/>
      <c r="IG21" s="253"/>
      <c r="IH21" s="253"/>
      <c r="II21" s="253"/>
      <c r="IJ21" s="253"/>
      <c r="IK21" s="253"/>
      <c r="IL21" s="253"/>
      <c r="IM21" s="253"/>
      <c r="IN21" s="253"/>
      <c r="IO21" s="253"/>
      <c r="IP21" s="253"/>
      <c r="IQ21" s="253"/>
      <c r="IR21" s="253"/>
      <c r="IS21" s="253"/>
      <c r="IT21" s="253"/>
    </row>
    <row r="22" spans="1:254" ht="17.25" thickTop="1" thickBot="1" x14ac:dyDescent="0.3">
      <c r="A22" s="110" t="s">
        <v>268</v>
      </c>
      <c r="B22" s="226" t="s">
        <v>348</v>
      </c>
      <c r="C22" s="111">
        <f>+C21+C18+C14</f>
        <v>39726544</v>
      </c>
      <c r="D22" s="111">
        <f t="shared" ref="D22:E22" si="14">+D21+D18+D14</f>
        <v>1205504</v>
      </c>
      <c r="E22" s="111">
        <f t="shared" si="14"/>
        <v>40932048</v>
      </c>
      <c r="F22" s="111">
        <f>+F21+F18+F14</f>
        <v>12563991</v>
      </c>
      <c r="G22" s="111">
        <f t="shared" ref="G22:H22" si="15">+G21+G18+G14</f>
        <v>183174</v>
      </c>
      <c r="H22" s="111">
        <f t="shared" si="15"/>
        <v>12747165</v>
      </c>
      <c r="I22" s="111">
        <f>+I21+I18+I14</f>
        <v>52290535</v>
      </c>
      <c r="J22" s="111">
        <f t="shared" ref="J22:K22" si="16">+J21+J18+J14</f>
        <v>1388678</v>
      </c>
      <c r="K22" s="111">
        <f t="shared" si="16"/>
        <v>53679213</v>
      </c>
    </row>
    <row r="23" spans="1:254" ht="16.5" thickTop="1" x14ac:dyDescent="0.25">
      <c r="A23" s="427" t="s">
        <v>419</v>
      </c>
      <c r="B23" s="428" t="s">
        <v>417</v>
      </c>
      <c r="C23" s="408">
        <v>9486336</v>
      </c>
      <c r="D23" s="408">
        <v>152679</v>
      </c>
      <c r="E23" s="408">
        <f>SUM(C23:D23)</f>
        <v>9639015</v>
      </c>
      <c r="F23" s="408">
        <v>0</v>
      </c>
      <c r="G23" s="408"/>
      <c r="H23" s="408">
        <f>SUM(F23:G23)</f>
        <v>0</v>
      </c>
      <c r="I23" s="408">
        <f>SUM(C23+F23)</f>
        <v>9486336</v>
      </c>
      <c r="J23" s="408">
        <f>SUM(D23+G23)</f>
        <v>152679</v>
      </c>
      <c r="K23" s="408">
        <f>SUM(E23+H23)</f>
        <v>9639015</v>
      </c>
      <c r="IS23"/>
      <c r="IT23"/>
    </row>
    <row r="24" spans="1:254" ht="31.5" x14ac:dyDescent="0.25">
      <c r="A24" s="772" t="s">
        <v>426</v>
      </c>
      <c r="B24" s="773" t="s">
        <v>418</v>
      </c>
      <c r="C24" s="560"/>
      <c r="D24" s="560"/>
      <c r="E24" s="560">
        <f>SUM(C24:D24)</f>
        <v>0</v>
      </c>
      <c r="F24" s="560"/>
      <c r="G24" s="560"/>
      <c r="H24" s="560"/>
      <c r="I24" s="408">
        <f>SUM(C24+F24)</f>
        <v>0</v>
      </c>
      <c r="J24" s="408">
        <f t="shared" ref="J24:J25" si="17">SUM(D24+G24)</f>
        <v>0</v>
      </c>
      <c r="K24" s="560">
        <f t="shared" ref="K24" si="18">SUM(E24:H24)</f>
        <v>0</v>
      </c>
      <c r="IS24"/>
      <c r="IT24"/>
    </row>
    <row r="25" spans="1:254" ht="31.5" x14ac:dyDescent="0.25">
      <c r="A25" s="427" t="s">
        <v>827</v>
      </c>
      <c r="B25" s="428" t="s">
        <v>828</v>
      </c>
      <c r="C25" s="408">
        <v>3300000</v>
      </c>
      <c r="D25" s="408">
        <v>1500000</v>
      </c>
      <c r="E25" s="408">
        <f>SUM(C25:D25)</f>
        <v>4800000</v>
      </c>
      <c r="F25" s="408"/>
      <c r="G25" s="408"/>
      <c r="H25" s="408"/>
      <c r="I25" s="408">
        <f>SUM(C25+F25)</f>
        <v>3300000</v>
      </c>
      <c r="J25" s="408">
        <f t="shared" si="17"/>
        <v>1500000</v>
      </c>
      <c r="K25" s="560">
        <f t="shared" ref="K25" si="19">SUM(E25:H25)</f>
        <v>4800000</v>
      </c>
      <c r="IS25"/>
      <c r="IT25"/>
    </row>
    <row r="26" spans="1:254" ht="32.25" thickBot="1" x14ac:dyDescent="0.3">
      <c r="A26" s="435" t="s">
        <v>844</v>
      </c>
      <c r="B26" s="771" t="s">
        <v>845</v>
      </c>
      <c r="C26" s="407">
        <v>129365</v>
      </c>
      <c r="D26" s="407"/>
      <c r="E26" s="407">
        <f>SUM(C26:D26)</f>
        <v>129365</v>
      </c>
      <c r="F26" s="407"/>
      <c r="G26" s="407"/>
      <c r="H26" s="407"/>
      <c r="I26" s="408">
        <f>SUM(C26+F26)</f>
        <v>129365</v>
      </c>
      <c r="J26" s="408">
        <f t="shared" ref="J26" si="20">SUM(D26+G26)</f>
        <v>0</v>
      </c>
      <c r="K26" s="560">
        <f t="shared" ref="K26" si="21">SUM(E26:H26)</f>
        <v>129365</v>
      </c>
      <c r="IS26"/>
      <c r="IT26"/>
    </row>
    <row r="27" spans="1:254" s="430" customFormat="1" ht="17.25" thickTop="1" thickBot="1" x14ac:dyDescent="0.3">
      <c r="A27" s="112" t="s">
        <v>420</v>
      </c>
      <c r="B27" s="224" t="s">
        <v>269</v>
      </c>
      <c r="C27" s="324">
        <f>SUM(C23:C26)</f>
        <v>12915701</v>
      </c>
      <c r="D27" s="324">
        <f t="shared" ref="D27:K27" si="22">SUM(D23:D26)</f>
        <v>1652679</v>
      </c>
      <c r="E27" s="324">
        <f t="shared" si="22"/>
        <v>14568380</v>
      </c>
      <c r="F27" s="324">
        <f t="shared" si="22"/>
        <v>0</v>
      </c>
      <c r="G27" s="324">
        <f t="shared" si="22"/>
        <v>0</v>
      </c>
      <c r="H27" s="324">
        <f t="shared" si="22"/>
        <v>0</v>
      </c>
      <c r="I27" s="324">
        <f t="shared" si="22"/>
        <v>12915701</v>
      </c>
      <c r="J27" s="324">
        <f t="shared" si="22"/>
        <v>1652679</v>
      </c>
      <c r="K27" s="324">
        <f t="shared" si="22"/>
        <v>14568380</v>
      </c>
      <c r="L27" s="429"/>
      <c r="M27" s="429"/>
      <c r="N27" s="429"/>
      <c r="O27" s="429"/>
      <c r="P27" s="429"/>
      <c r="Q27" s="429"/>
      <c r="R27" s="429"/>
      <c r="S27" s="429"/>
      <c r="T27" s="429"/>
      <c r="U27" s="429"/>
      <c r="V27" s="429"/>
      <c r="W27" s="429"/>
      <c r="X27" s="429"/>
      <c r="Y27" s="429"/>
      <c r="Z27" s="429"/>
      <c r="AA27" s="429"/>
      <c r="AB27" s="429"/>
      <c r="AC27" s="429"/>
      <c r="AD27" s="429"/>
      <c r="AE27" s="429"/>
      <c r="AF27" s="429"/>
      <c r="AG27" s="429"/>
      <c r="AH27" s="429"/>
      <c r="AI27" s="429"/>
      <c r="AJ27" s="429"/>
      <c r="AK27" s="429"/>
      <c r="AL27" s="429"/>
      <c r="AM27" s="429"/>
      <c r="AN27" s="429"/>
      <c r="AO27" s="429"/>
      <c r="AP27" s="429"/>
      <c r="AQ27" s="429"/>
      <c r="AR27" s="429"/>
      <c r="AS27" s="429"/>
      <c r="AT27" s="429"/>
      <c r="AU27" s="429"/>
      <c r="AV27" s="429"/>
      <c r="AW27" s="429"/>
      <c r="AX27" s="429"/>
      <c r="AY27" s="429"/>
      <c r="AZ27" s="429"/>
      <c r="BA27" s="429"/>
      <c r="BB27" s="429"/>
      <c r="BC27" s="429"/>
      <c r="BD27" s="429"/>
      <c r="BE27" s="429"/>
      <c r="BF27" s="429"/>
      <c r="BG27" s="429"/>
      <c r="BH27" s="429"/>
      <c r="BI27" s="429"/>
      <c r="BJ27" s="429"/>
      <c r="BK27" s="429"/>
      <c r="BL27" s="429"/>
      <c r="BM27" s="429"/>
      <c r="BN27" s="429"/>
      <c r="BO27" s="429"/>
      <c r="BP27" s="429"/>
      <c r="BQ27" s="429"/>
      <c r="BR27" s="429"/>
      <c r="BS27" s="429"/>
      <c r="BT27" s="429"/>
      <c r="BU27" s="429"/>
      <c r="BV27" s="429"/>
      <c r="BW27" s="429"/>
      <c r="BX27" s="429"/>
      <c r="BY27" s="429"/>
      <c r="BZ27" s="429"/>
      <c r="CA27" s="429"/>
      <c r="CB27" s="429"/>
      <c r="CC27" s="429"/>
      <c r="CD27" s="429"/>
      <c r="CE27" s="429"/>
      <c r="CF27" s="429"/>
      <c r="CG27" s="429"/>
      <c r="CH27" s="429"/>
      <c r="CI27" s="429"/>
      <c r="CJ27" s="429"/>
      <c r="CK27" s="429"/>
      <c r="CL27" s="429"/>
      <c r="CM27" s="429"/>
      <c r="CN27" s="429"/>
      <c r="CO27" s="429"/>
      <c r="CP27" s="429"/>
      <c r="CQ27" s="429"/>
      <c r="CR27" s="429"/>
      <c r="CS27" s="429"/>
      <c r="CT27" s="429"/>
      <c r="CU27" s="429"/>
      <c r="CV27" s="429"/>
      <c r="CW27" s="429"/>
      <c r="CX27" s="429"/>
      <c r="CY27" s="429"/>
      <c r="CZ27" s="429"/>
      <c r="DA27" s="429"/>
      <c r="DB27" s="429"/>
      <c r="DC27" s="429"/>
      <c r="DD27" s="429"/>
      <c r="DE27" s="429"/>
      <c r="DF27" s="429"/>
      <c r="DG27" s="429"/>
      <c r="DH27" s="429"/>
      <c r="DI27" s="429"/>
      <c r="DJ27" s="429"/>
      <c r="DK27" s="429"/>
      <c r="DL27" s="429"/>
      <c r="DM27" s="429"/>
      <c r="DN27" s="429"/>
      <c r="DO27" s="429"/>
      <c r="DP27" s="429"/>
      <c r="DQ27" s="429"/>
      <c r="DR27" s="429"/>
      <c r="DS27" s="429"/>
      <c r="DT27" s="429"/>
      <c r="DU27" s="429"/>
      <c r="DV27" s="429"/>
      <c r="DW27" s="429"/>
      <c r="DX27" s="429"/>
      <c r="DY27" s="429"/>
      <c r="DZ27" s="429"/>
      <c r="EA27" s="429"/>
      <c r="EB27" s="429"/>
      <c r="EC27" s="429"/>
      <c r="ED27" s="429"/>
      <c r="EE27" s="429"/>
      <c r="EF27" s="429"/>
      <c r="EG27" s="429"/>
      <c r="EH27" s="429"/>
      <c r="EI27" s="429"/>
      <c r="EJ27" s="429"/>
      <c r="EK27" s="429"/>
      <c r="EL27" s="429"/>
      <c r="EM27" s="429"/>
      <c r="EN27" s="429"/>
      <c r="EO27" s="429"/>
      <c r="EP27" s="429"/>
      <c r="EQ27" s="429"/>
      <c r="ER27" s="429"/>
      <c r="ES27" s="429"/>
      <c r="ET27" s="429"/>
      <c r="EU27" s="429"/>
      <c r="EV27" s="429"/>
      <c r="EW27" s="429"/>
      <c r="EX27" s="429"/>
      <c r="EY27" s="429"/>
      <c r="EZ27" s="429"/>
      <c r="FA27" s="429"/>
      <c r="FB27" s="429"/>
      <c r="FC27" s="429"/>
      <c r="FD27" s="429"/>
      <c r="FE27" s="429"/>
      <c r="FF27" s="429"/>
      <c r="FG27" s="429"/>
      <c r="FH27" s="429"/>
      <c r="FI27" s="429"/>
      <c r="FJ27" s="429"/>
      <c r="FK27" s="429"/>
      <c r="FL27" s="429"/>
      <c r="FM27" s="429"/>
      <c r="FN27" s="429"/>
      <c r="FO27" s="429"/>
      <c r="FP27" s="429"/>
      <c r="FQ27" s="429"/>
      <c r="FR27" s="429"/>
      <c r="FS27" s="429"/>
      <c r="FT27" s="429"/>
      <c r="FU27" s="429"/>
      <c r="FV27" s="429"/>
      <c r="FW27" s="429"/>
      <c r="FX27" s="429"/>
      <c r="FY27" s="429"/>
      <c r="FZ27" s="429"/>
      <c r="GA27" s="429"/>
      <c r="GB27" s="429"/>
      <c r="GC27" s="429"/>
      <c r="GD27" s="429"/>
      <c r="GE27" s="429"/>
      <c r="GF27" s="429"/>
      <c r="GG27" s="429"/>
      <c r="GH27" s="429"/>
      <c r="GI27" s="429"/>
      <c r="GJ27" s="429"/>
      <c r="GK27" s="429"/>
      <c r="GL27" s="429"/>
      <c r="GM27" s="429"/>
      <c r="GN27" s="429"/>
      <c r="GO27" s="429"/>
      <c r="GP27" s="429"/>
      <c r="GQ27" s="429"/>
      <c r="GR27" s="429"/>
      <c r="GS27" s="429"/>
      <c r="GT27" s="429"/>
      <c r="GU27" s="429"/>
      <c r="GV27" s="429"/>
      <c r="GW27" s="429"/>
      <c r="GX27" s="429"/>
      <c r="GY27" s="429"/>
      <c r="GZ27" s="429"/>
      <c r="HA27" s="429"/>
      <c r="HB27" s="429"/>
      <c r="HC27" s="429"/>
      <c r="HD27" s="429"/>
      <c r="HE27" s="429"/>
      <c r="HF27" s="429"/>
      <c r="HG27" s="429"/>
      <c r="HH27" s="429"/>
      <c r="HI27" s="429"/>
      <c r="HJ27" s="429"/>
      <c r="HK27" s="429"/>
      <c r="HL27" s="429"/>
      <c r="HM27" s="429"/>
      <c r="HN27" s="429"/>
      <c r="HO27" s="429"/>
      <c r="HP27" s="429"/>
      <c r="HQ27" s="429"/>
      <c r="HR27" s="429"/>
      <c r="HS27" s="429"/>
      <c r="HT27" s="429"/>
      <c r="HU27" s="429"/>
      <c r="HV27" s="429"/>
      <c r="HW27" s="429"/>
      <c r="HX27" s="429"/>
      <c r="HY27" s="429"/>
      <c r="HZ27" s="429"/>
      <c r="IA27" s="429"/>
      <c r="IB27" s="429"/>
      <c r="IC27" s="429"/>
      <c r="ID27" s="429"/>
      <c r="IE27" s="429"/>
      <c r="IF27" s="429"/>
      <c r="IG27" s="429"/>
      <c r="IH27" s="429"/>
      <c r="II27" s="429"/>
      <c r="IJ27" s="429"/>
      <c r="IK27" s="429"/>
      <c r="IL27" s="429"/>
      <c r="IM27" s="429"/>
      <c r="IN27" s="429"/>
      <c r="IO27" s="429"/>
      <c r="IP27" s="429"/>
      <c r="IQ27" s="429"/>
      <c r="IR27" s="429"/>
    </row>
    <row r="28" spans="1:254" s="250" customFormat="1" ht="17.25" thickTop="1" thickBot="1" x14ac:dyDescent="0.3">
      <c r="A28" s="333" t="s">
        <v>601</v>
      </c>
      <c r="B28" s="334"/>
      <c r="C28" s="335"/>
      <c r="D28" s="335"/>
      <c r="E28" s="335"/>
      <c r="F28" s="440">
        <v>2077.1799999999998</v>
      </c>
      <c r="G28" s="440">
        <v>25</v>
      </c>
      <c r="H28" s="440">
        <f>SUM(F28:G28)</f>
        <v>2102.1799999999998</v>
      </c>
      <c r="I28" s="440">
        <f>F28</f>
        <v>2077.1799999999998</v>
      </c>
      <c r="J28" s="440">
        <f t="shared" ref="J28:K28" si="23">G28</f>
        <v>25</v>
      </c>
      <c r="K28" s="440">
        <f t="shared" si="23"/>
        <v>2102.1799999999998</v>
      </c>
      <c r="L28" s="431"/>
      <c r="M28" s="431"/>
      <c r="N28" s="431"/>
      <c r="O28" s="431"/>
      <c r="P28" s="431"/>
      <c r="Q28" s="431"/>
      <c r="R28" s="431"/>
      <c r="S28" s="431"/>
      <c r="T28" s="431"/>
      <c r="U28" s="431"/>
      <c r="V28" s="431"/>
      <c r="W28" s="431"/>
      <c r="X28" s="431"/>
      <c r="Y28" s="431"/>
      <c r="Z28" s="431"/>
      <c r="AA28" s="431"/>
      <c r="AB28" s="431"/>
      <c r="AC28" s="431"/>
      <c r="AD28" s="431"/>
      <c r="AE28" s="431"/>
      <c r="AF28" s="431"/>
      <c r="AG28" s="431"/>
      <c r="AH28" s="431"/>
      <c r="AI28" s="431"/>
      <c r="AJ28" s="431"/>
      <c r="AK28" s="431"/>
      <c r="AL28" s="431"/>
      <c r="AM28" s="431"/>
      <c r="AN28" s="431"/>
      <c r="AO28" s="431"/>
      <c r="AP28" s="431"/>
      <c r="AQ28" s="431"/>
      <c r="AR28" s="431"/>
      <c r="AS28" s="431"/>
      <c r="AT28" s="431"/>
      <c r="AU28" s="431"/>
      <c r="AV28" s="431"/>
      <c r="AW28" s="431"/>
      <c r="AX28" s="431"/>
      <c r="AY28" s="431"/>
      <c r="AZ28" s="431"/>
      <c r="BA28" s="431"/>
      <c r="BB28" s="431"/>
      <c r="BC28" s="431"/>
      <c r="BD28" s="431"/>
      <c r="BE28" s="431"/>
      <c r="BF28" s="431"/>
      <c r="BG28" s="431"/>
      <c r="BH28" s="431"/>
      <c r="BI28" s="431"/>
      <c r="BJ28" s="431"/>
      <c r="BK28" s="431"/>
      <c r="BL28" s="431"/>
      <c r="BM28" s="431"/>
      <c r="BN28" s="431"/>
      <c r="BO28" s="431"/>
      <c r="BP28" s="431"/>
      <c r="BQ28" s="431"/>
      <c r="BR28" s="431"/>
      <c r="BS28" s="431"/>
      <c r="BT28" s="431"/>
      <c r="BU28" s="431"/>
      <c r="BV28" s="431"/>
      <c r="BW28" s="431"/>
      <c r="BX28" s="431"/>
      <c r="BY28" s="431"/>
      <c r="BZ28" s="431"/>
      <c r="CA28" s="431"/>
      <c r="CB28" s="431"/>
      <c r="CC28" s="431"/>
      <c r="CD28" s="431"/>
      <c r="CE28" s="431"/>
      <c r="CF28" s="431"/>
      <c r="CG28" s="431"/>
      <c r="CH28" s="431"/>
      <c r="CI28" s="431"/>
      <c r="CJ28" s="431"/>
      <c r="CK28" s="431"/>
      <c r="CL28" s="431"/>
      <c r="CM28" s="431"/>
      <c r="CN28" s="431"/>
      <c r="CO28" s="431"/>
      <c r="CP28" s="431"/>
      <c r="CQ28" s="431"/>
      <c r="CR28" s="431"/>
      <c r="CS28" s="431"/>
      <c r="CT28" s="431"/>
      <c r="CU28" s="431"/>
      <c r="CV28" s="431"/>
      <c r="CW28" s="431"/>
      <c r="CX28" s="431"/>
      <c r="CY28" s="431"/>
      <c r="CZ28" s="431"/>
      <c r="DA28" s="431"/>
      <c r="DB28" s="431"/>
      <c r="DC28" s="431"/>
      <c r="DD28" s="431"/>
      <c r="DE28" s="431"/>
      <c r="DF28" s="431"/>
      <c r="DG28" s="431"/>
      <c r="DH28" s="431"/>
      <c r="DI28" s="431"/>
      <c r="DJ28" s="431"/>
      <c r="DK28" s="431"/>
      <c r="DL28" s="431"/>
      <c r="DM28" s="431"/>
      <c r="DN28" s="431"/>
      <c r="DO28" s="431"/>
      <c r="DP28" s="431"/>
      <c r="DQ28" s="431"/>
      <c r="DR28" s="431"/>
      <c r="DS28" s="431"/>
      <c r="DT28" s="431"/>
      <c r="DU28" s="431"/>
      <c r="DV28" s="431"/>
      <c r="DW28" s="431"/>
      <c r="DX28" s="431"/>
      <c r="DY28" s="431"/>
      <c r="DZ28" s="431"/>
      <c r="EA28" s="431"/>
      <c r="EB28" s="431"/>
      <c r="EC28" s="431"/>
      <c r="ED28" s="431"/>
      <c r="EE28" s="431"/>
      <c r="EF28" s="431"/>
      <c r="EG28" s="431"/>
      <c r="EH28" s="431"/>
      <c r="EI28" s="431"/>
      <c r="EJ28" s="431"/>
      <c r="EK28" s="431"/>
      <c r="EL28" s="431"/>
      <c r="EM28" s="431"/>
      <c r="EN28" s="431"/>
      <c r="EO28" s="431"/>
      <c r="EP28" s="431"/>
      <c r="EQ28" s="431"/>
      <c r="ER28" s="431"/>
      <c r="ES28" s="431"/>
      <c r="ET28" s="431"/>
      <c r="EU28" s="431"/>
      <c r="EV28" s="431"/>
      <c r="EW28" s="431"/>
      <c r="EX28" s="431"/>
      <c r="EY28" s="431"/>
      <c r="EZ28" s="431"/>
      <c r="FA28" s="431"/>
      <c r="FB28" s="431"/>
      <c r="FC28" s="431"/>
      <c r="FD28" s="431"/>
      <c r="FE28" s="431"/>
      <c r="FF28" s="431"/>
      <c r="FG28" s="431"/>
      <c r="FH28" s="431"/>
      <c r="FI28" s="431"/>
      <c r="FJ28" s="431"/>
      <c r="FK28" s="431"/>
      <c r="FL28" s="431"/>
      <c r="FM28" s="431"/>
      <c r="FN28" s="431"/>
      <c r="FO28" s="431"/>
      <c r="FP28" s="431"/>
      <c r="FQ28" s="431"/>
      <c r="FR28" s="431"/>
      <c r="FS28" s="431"/>
      <c r="FT28" s="431"/>
      <c r="FU28" s="431"/>
      <c r="FV28" s="431"/>
      <c r="FW28" s="431"/>
      <c r="FX28" s="431"/>
      <c r="FY28" s="431"/>
      <c r="FZ28" s="431"/>
      <c r="GA28" s="431"/>
      <c r="GB28" s="431"/>
      <c r="GC28" s="431"/>
      <c r="GD28" s="431"/>
      <c r="GE28" s="431"/>
      <c r="GF28" s="431"/>
      <c r="GG28" s="431"/>
      <c r="GH28" s="431"/>
      <c r="GI28" s="431"/>
      <c r="GJ28" s="431"/>
      <c r="GK28" s="431"/>
      <c r="GL28" s="431"/>
      <c r="GM28" s="431"/>
      <c r="GN28" s="431"/>
      <c r="GO28" s="431"/>
      <c r="GP28" s="431"/>
      <c r="GQ28" s="431"/>
      <c r="GR28" s="431"/>
      <c r="GS28" s="431"/>
      <c r="GT28" s="431"/>
      <c r="GU28" s="431"/>
      <c r="GV28" s="431"/>
      <c r="GW28" s="431"/>
      <c r="GX28" s="431"/>
      <c r="GY28" s="431"/>
      <c r="GZ28" s="431"/>
      <c r="HA28" s="431"/>
      <c r="HB28" s="431"/>
      <c r="HC28" s="431"/>
      <c r="HD28" s="431"/>
      <c r="HE28" s="431"/>
      <c r="HF28" s="431"/>
      <c r="HG28" s="431"/>
      <c r="HH28" s="431"/>
      <c r="HI28" s="431"/>
      <c r="HJ28" s="431"/>
      <c r="HK28" s="431"/>
      <c r="HL28" s="431"/>
      <c r="HM28" s="431"/>
      <c r="HN28" s="431"/>
      <c r="HO28" s="431"/>
      <c r="HP28" s="431"/>
      <c r="HQ28" s="431"/>
      <c r="HR28" s="431"/>
      <c r="HS28" s="431"/>
      <c r="HT28" s="431"/>
      <c r="HU28" s="431"/>
      <c r="HV28" s="431"/>
      <c r="HW28" s="431"/>
      <c r="HX28" s="431"/>
      <c r="HY28" s="431"/>
      <c r="HZ28" s="431"/>
      <c r="IA28" s="431"/>
      <c r="IB28" s="431"/>
      <c r="IC28" s="431"/>
      <c r="ID28" s="431"/>
      <c r="IE28" s="431"/>
      <c r="IF28" s="431"/>
      <c r="IG28" s="431"/>
      <c r="IH28" s="431"/>
      <c r="II28" s="431"/>
      <c r="IJ28" s="431"/>
      <c r="IK28" s="431"/>
      <c r="IL28" s="431"/>
      <c r="IM28" s="431"/>
      <c r="IN28" s="431"/>
      <c r="IO28" s="431"/>
      <c r="IP28" s="431"/>
      <c r="IQ28" s="431"/>
      <c r="IR28" s="431"/>
    </row>
    <row r="29" spans="1:254" ht="16.5" thickTop="1" x14ac:dyDescent="0.25">
      <c r="A29" s="114"/>
      <c r="B29" s="114"/>
      <c r="C29" s="92"/>
      <c r="D29" s="92"/>
      <c r="E29" s="92"/>
      <c r="F29" s="92"/>
      <c r="G29" s="92"/>
      <c r="H29" s="92"/>
    </row>
    <row r="30" spans="1:254" x14ac:dyDescent="0.25">
      <c r="A30" s="114"/>
      <c r="B30" s="114"/>
      <c r="C30" s="92"/>
      <c r="D30" s="92"/>
      <c r="E30" s="92"/>
      <c r="F30" s="92"/>
      <c r="G30" s="92"/>
      <c r="H30" s="92"/>
    </row>
    <row r="31" spans="1:254" x14ac:dyDescent="0.25">
      <c r="A31" s="114"/>
      <c r="B31" s="114"/>
      <c r="C31" s="92"/>
      <c r="D31" s="92"/>
      <c r="E31" s="92"/>
      <c r="F31" s="92"/>
      <c r="G31" s="92"/>
      <c r="H31" s="92"/>
    </row>
    <row r="32" spans="1:254" x14ac:dyDescent="0.25">
      <c r="A32" s="114"/>
      <c r="B32" s="114"/>
      <c r="C32" s="92"/>
      <c r="D32" s="92"/>
      <c r="E32" s="92"/>
      <c r="F32" s="92"/>
      <c r="G32" s="92"/>
      <c r="H32" s="92"/>
    </row>
    <row r="33" spans="1:8" x14ac:dyDescent="0.25">
      <c r="A33" s="114"/>
      <c r="B33" s="114"/>
      <c r="C33" s="92"/>
      <c r="D33" s="92"/>
      <c r="E33" s="92"/>
      <c r="F33" s="92"/>
      <c r="G33" s="92"/>
      <c r="H33" s="92"/>
    </row>
    <row r="34" spans="1:8" x14ac:dyDescent="0.25">
      <c r="A34" s="114"/>
      <c r="B34" s="114"/>
      <c r="C34" s="92"/>
      <c r="D34" s="92"/>
      <c r="E34" s="92"/>
      <c r="F34" s="92"/>
      <c r="G34" s="92"/>
      <c r="H34" s="92"/>
    </row>
    <row r="35" spans="1:8" x14ac:dyDescent="0.25">
      <c r="A35" s="114"/>
      <c r="B35" s="114"/>
      <c r="C35" s="92"/>
      <c r="D35" s="92"/>
      <c r="E35" s="92"/>
      <c r="F35" s="92"/>
      <c r="G35" s="92"/>
      <c r="H35" s="92"/>
    </row>
    <row r="36" spans="1:8" x14ac:dyDescent="0.25">
      <c r="A36" s="114"/>
      <c r="B36" s="114"/>
      <c r="C36" s="92"/>
      <c r="D36" s="92"/>
      <c r="E36" s="92"/>
      <c r="F36" s="92"/>
      <c r="G36" s="92"/>
      <c r="H36" s="92"/>
    </row>
    <row r="37" spans="1:8" x14ac:dyDescent="0.25">
      <c r="A37" s="114"/>
      <c r="B37" s="114"/>
      <c r="C37" s="92"/>
      <c r="D37" s="92"/>
      <c r="E37" s="92"/>
      <c r="F37" s="92"/>
      <c r="G37" s="92"/>
      <c r="H37" s="92"/>
    </row>
    <row r="38" spans="1:8" x14ac:dyDescent="0.25">
      <c r="A38" s="67"/>
      <c r="B38" s="67"/>
      <c r="C38" s="92"/>
      <c r="D38" s="92"/>
      <c r="E38" s="92"/>
      <c r="F38" s="92"/>
      <c r="G38" s="92"/>
      <c r="H38" s="92"/>
    </row>
    <row r="39" spans="1:8" x14ac:dyDescent="0.25">
      <c r="C39" s="63"/>
      <c r="D39" s="63"/>
      <c r="E39" s="63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CE,Félkövér"&amp;11 4. melléklet a 28/2016.(VI.24.) önkormányzati rendelethez&amp;"Times New Roman CE,Dőlt"&amp;10
4. melléklet
a 3/2016.(II.12.)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G21" sqref="G21"/>
    </sheetView>
  </sheetViews>
  <sheetFormatPr defaultRowHeight="15.75" x14ac:dyDescent="0.25"/>
  <cols>
    <col min="1" max="1" width="44.5" style="92" customWidth="1"/>
    <col min="2" max="2" width="14.25" style="113" customWidth="1"/>
    <col min="3" max="3" width="16.125" style="114" customWidth="1"/>
  </cols>
  <sheetData>
    <row r="1" spans="1:3" x14ac:dyDescent="0.25">
      <c r="A1" s="945" t="s">
        <v>282</v>
      </c>
      <c r="B1" s="945"/>
      <c r="C1" s="945"/>
    </row>
    <row r="2" spans="1:3" x14ac:dyDescent="0.25">
      <c r="A2" s="945" t="s">
        <v>470</v>
      </c>
      <c r="B2" s="945"/>
      <c r="C2" s="945"/>
    </row>
    <row r="3" spans="1:3" x14ac:dyDescent="0.25">
      <c r="A3" s="945" t="s">
        <v>944</v>
      </c>
      <c r="B3" s="945"/>
      <c r="C3" s="945"/>
    </row>
    <row r="5" spans="1:3" ht="16.5" thickBot="1" x14ac:dyDescent="0.3"/>
    <row r="6" spans="1:3" ht="17.25" customHeight="1" thickTop="1" thickBot="1" x14ac:dyDescent="0.3">
      <c r="A6" s="290" t="s">
        <v>184</v>
      </c>
      <c r="B6" s="291" t="s">
        <v>201</v>
      </c>
      <c r="C6" s="287" t="s">
        <v>191</v>
      </c>
    </row>
    <row r="7" spans="1:3" ht="16.5" thickTop="1" x14ac:dyDescent="0.25">
      <c r="A7" s="285" t="s">
        <v>277</v>
      </c>
      <c r="B7" s="286" t="s">
        <v>283</v>
      </c>
      <c r="C7" s="432">
        <f>'3 bevétel(szűkített)'!K55</f>
        <v>43082148</v>
      </c>
    </row>
    <row r="8" spans="1:3" x14ac:dyDescent="0.25">
      <c r="A8" s="283" t="s">
        <v>284</v>
      </c>
      <c r="B8" s="284"/>
      <c r="C8" s="288">
        <f>'3 bevétel(szűkített)'!K60</f>
        <v>926430</v>
      </c>
    </row>
    <row r="9" spans="1:3" x14ac:dyDescent="0.25">
      <c r="A9" s="93" t="s">
        <v>386</v>
      </c>
      <c r="B9" s="279"/>
      <c r="C9" s="99">
        <f>'3 bevétel(szűkített)'!K61</f>
        <v>9639015</v>
      </c>
    </row>
    <row r="10" spans="1:3" x14ac:dyDescent="0.25">
      <c r="A10" s="93" t="s">
        <v>433</v>
      </c>
      <c r="B10" s="279"/>
      <c r="C10" s="99">
        <f>'3 bevétel(szűkített)'!K62</f>
        <v>6800000</v>
      </c>
    </row>
    <row r="11" spans="1:3" ht="31.5" x14ac:dyDescent="0.25">
      <c r="A11" s="93" t="s">
        <v>872</v>
      </c>
      <c r="B11" s="279"/>
      <c r="C11" s="99">
        <f>'3 bevétel(szűkített)'!K63</f>
        <v>7800000</v>
      </c>
    </row>
    <row r="12" spans="1:3" s="276" customFormat="1" x14ac:dyDescent="0.25">
      <c r="A12" s="105" t="s">
        <v>873</v>
      </c>
      <c r="B12" s="278" t="s">
        <v>222</v>
      </c>
      <c r="C12" s="99">
        <f>SUM(C8:C11)</f>
        <v>25165445</v>
      </c>
    </row>
    <row r="13" spans="1:3" x14ac:dyDescent="0.25">
      <c r="A13" s="100"/>
      <c r="B13" s="105"/>
      <c r="C13" s="99"/>
    </row>
    <row r="14" spans="1:3" s="276" customFormat="1" x14ac:dyDescent="0.25">
      <c r="A14" s="105" t="s">
        <v>278</v>
      </c>
      <c r="B14" s="105" t="s">
        <v>211</v>
      </c>
      <c r="C14" s="99">
        <f>'4 kiadás(szűkített)'!K22</f>
        <v>53679213</v>
      </c>
    </row>
    <row r="15" spans="1:3" x14ac:dyDescent="0.25">
      <c r="A15" s="93" t="s">
        <v>387</v>
      </c>
      <c r="B15" s="248"/>
      <c r="C15" s="289">
        <f>'4 kiadás(szűkített)'!K23</f>
        <v>9639015</v>
      </c>
    </row>
    <row r="16" spans="1:3" x14ac:dyDescent="0.25">
      <c r="A16" s="433" t="s">
        <v>427</v>
      </c>
      <c r="B16" s="280"/>
      <c r="C16" s="434">
        <f>'4 kiadás(szűkített)'!K24</f>
        <v>0</v>
      </c>
    </row>
    <row r="17" spans="1:3" x14ac:dyDescent="0.25">
      <c r="A17" s="433" t="s">
        <v>874</v>
      </c>
      <c r="B17" s="280"/>
      <c r="C17" s="434">
        <f>'4 kiadás(szűkített)'!K25</f>
        <v>4800000</v>
      </c>
    </row>
    <row r="18" spans="1:3" ht="31.5" x14ac:dyDescent="0.25">
      <c r="A18" s="433" t="s">
        <v>875</v>
      </c>
      <c r="B18" s="280"/>
      <c r="C18" s="434">
        <f>'4 kiadás(szűkített)'!K26</f>
        <v>129365</v>
      </c>
    </row>
    <row r="19" spans="1:3" x14ac:dyDescent="0.25">
      <c r="A19" s="280" t="s">
        <v>876</v>
      </c>
      <c r="B19" s="280" t="s">
        <v>269</v>
      </c>
      <c r="C19" s="281">
        <f>SUM(C15+C16+C17+C18)</f>
        <v>14568380</v>
      </c>
    </row>
    <row r="20" spans="1:3" x14ac:dyDescent="0.25">
      <c r="A20" s="100"/>
      <c r="B20" s="105"/>
      <c r="C20" s="94"/>
    </row>
    <row r="21" spans="1:3" s="276" customFormat="1" x14ac:dyDescent="0.25">
      <c r="A21" s="105" t="s">
        <v>279</v>
      </c>
      <c r="B21" s="105"/>
      <c r="C21" s="99">
        <f>SUM(C7-C14)</f>
        <v>-10597065</v>
      </c>
    </row>
    <row r="22" spans="1:3" s="276" customFormat="1" x14ac:dyDescent="0.25">
      <c r="A22" s="105" t="s">
        <v>280</v>
      </c>
      <c r="B22" s="105"/>
      <c r="C22" s="99">
        <f>SUM(C12-C19)</f>
        <v>10597065</v>
      </c>
    </row>
    <row r="23" spans="1:3" s="276" customFormat="1" ht="16.5" thickBot="1" x14ac:dyDescent="0.3">
      <c r="A23" s="282" t="s">
        <v>281</v>
      </c>
      <c r="B23" s="282"/>
      <c r="C23" s="277">
        <f>SUM(C21+C22)</f>
        <v>0</v>
      </c>
    </row>
    <row r="24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CE,Félkövér"&amp;10 5. melléklet a 28/2016.(VI.24.) önkormányzati rendelethez&amp;"Times New Roman CE,Dőlt"
5. melléklet
a 3/2016.(II.12.)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Normal="100" workbookViewId="0">
      <pane xSplit="2" ySplit="4" topLeftCell="E430" activePane="bottomRight" state="frozen"/>
      <selection activeCell="L16" sqref="L16"/>
      <selection pane="topRight" activeCell="L16" sqref="L16"/>
      <selection pane="bottomLeft" activeCell="L16" sqref="L16"/>
      <selection pane="bottomRight" activeCell="J437" sqref="J437"/>
    </sheetView>
  </sheetViews>
  <sheetFormatPr defaultRowHeight="15.75" x14ac:dyDescent="0.25"/>
  <cols>
    <col min="1" max="1" width="3.125" style="618" customWidth="1"/>
    <col min="2" max="2" width="38.25" style="617" customWidth="1"/>
    <col min="3" max="3" width="15.75" style="616" customWidth="1"/>
    <col min="4" max="4" width="16.875" style="616" customWidth="1"/>
    <col min="5" max="5" width="11.75" style="616" customWidth="1"/>
    <col min="6" max="6" width="10.125" style="616" customWidth="1"/>
    <col min="7" max="7" width="12.625" style="616" customWidth="1"/>
    <col min="8" max="8" width="13.25" style="616" customWidth="1"/>
    <col min="9" max="9" width="12.375" style="616" customWidth="1"/>
    <col min="10" max="10" width="13.75" style="616" customWidth="1"/>
    <col min="11" max="11" width="13.375" style="616" customWidth="1"/>
    <col min="12" max="12" width="14" style="616" customWidth="1"/>
    <col min="13" max="13" width="14.875" style="616" customWidth="1"/>
    <col min="14" max="14" width="12.5" style="616" customWidth="1"/>
    <col min="15" max="15" width="11.125" style="616" customWidth="1"/>
    <col min="16" max="16" width="8.625" style="616" bestFit="1" customWidth="1"/>
    <col min="17" max="16384" width="9" style="616"/>
  </cols>
  <sheetData>
    <row r="1" spans="1:15" ht="21.75" customHeight="1" thickBot="1" x14ac:dyDescent="0.3">
      <c r="A1" s="958" t="s">
        <v>790</v>
      </c>
      <c r="B1" s="961" t="s">
        <v>789</v>
      </c>
      <c r="C1" s="961" t="s">
        <v>334</v>
      </c>
      <c r="D1" s="961" t="s">
        <v>335</v>
      </c>
      <c r="E1" s="961" t="s">
        <v>788</v>
      </c>
      <c r="F1" s="961" t="s">
        <v>78</v>
      </c>
      <c r="G1" s="961" t="s">
        <v>84</v>
      </c>
      <c r="H1" s="961" t="s">
        <v>336</v>
      </c>
      <c r="I1" s="961" t="s">
        <v>337</v>
      </c>
      <c r="J1" s="961" t="s">
        <v>807</v>
      </c>
      <c r="K1" s="961" t="s">
        <v>808</v>
      </c>
      <c r="L1" s="961" t="s">
        <v>787</v>
      </c>
      <c r="M1" s="963" t="s">
        <v>786</v>
      </c>
      <c r="N1" s="964"/>
      <c r="O1" s="961" t="s">
        <v>785</v>
      </c>
    </row>
    <row r="2" spans="1:15" ht="33.75" customHeight="1" thickBot="1" x14ac:dyDescent="0.3">
      <c r="A2" s="959"/>
      <c r="B2" s="962"/>
      <c r="C2" s="962"/>
      <c r="D2" s="962"/>
      <c r="E2" s="962"/>
      <c r="F2" s="962"/>
      <c r="G2" s="962"/>
      <c r="H2" s="962"/>
      <c r="I2" s="962"/>
      <c r="J2" s="962"/>
      <c r="K2" s="962"/>
      <c r="L2" s="962"/>
      <c r="M2" s="656" t="s">
        <v>784</v>
      </c>
      <c r="N2" s="655" t="s">
        <v>338</v>
      </c>
      <c r="O2" s="962"/>
    </row>
    <row r="3" spans="1:15" thickBot="1" x14ac:dyDescent="0.3">
      <c r="A3" s="960"/>
      <c r="B3" s="910"/>
      <c r="C3" s="911" t="s">
        <v>212</v>
      </c>
      <c r="D3" s="911" t="s">
        <v>213</v>
      </c>
      <c r="E3" s="911" t="s">
        <v>214</v>
      </c>
      <c r="F3" s="911" t="s">
        <v>215</v>
      </c>
      <c r="G3" s="911" t="s">
        <v>216</v>
      </c>
      <c r="H3" s="911" t="s">
        <v>217</v>
      </c>
      <c r="I3" s="911" t="s">
        <v>218</v>
      </c>
      <c r="J3" s="654" t="s">
        <v>783</v>
      </c>
      <c r="K3" s="653" t="s">
        <v>782</v>
      </c>
      <c r="L3" s="911" t="s">
        <v>781</v>
      </c>
      <c r="M3" s="965" t="s">
        <v>222</v>
      </c>
      <c r="N3" s="966"/>
      <c r="O3" s="652" t="s">
        <v>780</v>
      </c>
    </row>
    <row r="4" spans="1:15" ht="17.25" thickTop="1" thickBot="1" x14ac:dyDescent="0.3">
      <c r="A4" s="620"/>
      <c r="B4" s="651" t="s">
        <v>186</v>
      </c>
      <c r="C4" s="650" t="s">
        <v>187</v>
      </c>
      <c r="D4" s="650" t="s">
        <v>188</v>
      </c>
      <c r="E4" s="650" t="s">
        <v>189</v>
      </c>
      <c r="F4" s="650" t="s">
        <v>190</v>
      </c>
      <c r="G4" s="650" t="s">
        <v>779</v>
      </c>
      <c r="H4" s="650" t="s">
        <v>36</v>
      </c>
      <c r="I4" s="650" t="s">
        <v>37</v>
      </c>
      <c r="J4" s="650" t="s">
        <v>778</v>
      </c>
      <c r="K4" s="650" t="s">
        <v>777</v>
      </c>
      <c r="L4" s="650" t="s">
        <v>776</v>
      </c>
      <c r="M4" s="967" t="s">
        <v>41</v>
      </c>
      <c r="N4" s="968"/>
      <c r="O4" s="649" t="s">
        <v>339</v>
      </c>
    </row>
    <row r="5" spans="1:15" ht="16.5" thickTop="1" x14ac:dyDescent="0.25">
      <c r="A5" s="626" t="s">
        <v>192</v>
      </c>
      <c r="B5" s="628" t="s">
        <v>775</v>
      </c>
      <c r="C5" s="628"/>
      <c r="D5" s="628"/>
      <c r="E5" s="628"/>
      <c r="F5" s="628"/>
      <c r="G5" s="628"/>
      <c r="H5" s="628"/>
      <c r="I5" s="628"/>
      <c r="J5" s="628"/>
      <c r="K5" s="628"/>
      <c r="L5" s="628"/>
      <c r="M5" s="628"/>
      <c r="N5" s="628"/>
      <c r="O5" s="628"/>
    </row>
    <row r="6" spans="1:15" x14ac:dyDescent="0.25">
      <c r="A6" s="626"/>
      <c r="B6" s="624" t="s">
        <v>653</v>
      </c>
      <c r="C6" s="624">
        <v>384509</v>
      </c>
      <c r="D6" s="624"/>
      <c r="E6" s="624"/>
      <c r="F6" s="624">
        <v>3297</v>
      </c>
      <c r="G6" s="624"/>
      <c r="H6" s="624"/>
      <c r="I6" s="624"/>
      <c r="J6" s="624">
        <f>SUM(C6+E6+F6+H6)</f>
        <v>387806</v>
      </c>
      <c r="K6" s="624">
        <f>SUM(D6+G6+I6)</f>
        <v>0</v>
      </c>
      <c r="L6" s="624">
        <f>SUM(J6:K6)</f>
        <v>387806</v>
      </c>
      <c r="M6" s="624">
        <v>185103</v>
      </c>
      <c r="N6" s="624">
        <v>77426</v>
      </c>
      <c r="O6" s="624">
        <f>SUM(L6:N6)</f>
        <v>650335</v>
      </c>
    </row>
    <row r="7" spans="1:15" s="631" customFormat="1" x14ac:dyDescent="0.25">
      <c r="A7" s="634"/>
      <c r="B7" s="625" t="s">
        <v>738</v>
      </c>
      <c r="C7" s="625">
        <v>292778</v>
      </c>
      <c r="D7" s="625"/>
      <c r="E7" s="625"/>
      <c r="F7" s="625">
        <v>2472</v>
      </c>
      <c r="G7" s="625"/>
      <c r="H7" s="625"/>
      <c r="I7" s="632"/>
      <c r="J7" s="632">
        <f>SUM(C7+E7+F7+H7)</f>
        <v>295250</v>
      </c>
      <c r="K7" s="632">
        <f>SUM(D7+G7+I7)</f>
        <v>0</v>
      </c>
      <c r="L7" s="632">
        <f>SUM(J7:K7)</f>
        <v>295250</v>
      </c>
      <c r="M7" s="632">
        <v>136910</v>
      </c>
      <c r="N7" s="632">
        <v>77426</v>
      </c>
      <c r="O7" s="632">
        <f>SUM(L7:N7)</f>
        <v>509586</v>
      </c>
    </row>
    <row r="8" spans="1:15" s="631" customFormat="1" x14ac:dyDescent="0.25">
      <c r="A8" s="634"/>
      <c r="B8" s="625" t="s">
        <v>737</v>
      </c>
      <c r="C8" s="625">
        <v>91731</v>
      </c>
      <c r="D8" s="625"/>
      <c r="E8" s="625"/>
      <c r="F8" s="625">
        <v>825</v>
      </c>
      <c r="G8" s="625"/>
      <c r="H8" s="625"/>
      <c r="I8" s="632"/>
      <c r="J8" s="632">
        <f>SUM(C8+E8+F8+H8)</f>
        <v>92556</v>
      </c>
      <c r="K8" s="632">
        <f>SUM(D8+G8+I8)</f>
        <v>0</v>
      </c>
      <c r="L8" s="632">
        <f>SUM(J8:K8)</f>
        <v>92556</v>
      </c>
      <c r="M8" s="632">
        <v>48193</v>
      </c>
      <c r="N8" s="632"/>
      <c r="O8" s="632">
        <f>SUM(L8:N8)</f>
        <v>140749</v>
      </c>
    </row>
    <row r="9" spans="1:15" s="631" customFormat="1" x14ac:dyDescent="0.25">
      <c r="A9" s="634"/>
      <c r="B9" s="625" t="s">
        <v>178</v>
      </c>
      <c r="C9" s="625"/>
      <c r="D9" s="625"/>
      <c r="E9" s="625"/>
      <c r="F9" s="625"/>
      <c r="G9" s="625"/>
      <c r="H9" s="625"/>
      <c r="I9" s="632"/>
      <c r="J9" s="632"/>
      <c r="K9" s="632"/>
      <c r="L9" s="632"/>
      <c r="M9" s="632"/>
      <c r="N9" s="632"/>
      <c r="O9" s="632"/>
    </row>
    <row r="10" spans="1:15" s="631" customFormat="1" x14ac:dyDescent="0.25">
      <c r="A10" s="634"/>
      <c r="B10" s="852" t="s">
        <v>1110</v>
      </c>
      <c r="C10" s="625"/>
      <c r="D10" s="625"/>
      <c r="E10" s="625"/>
      <c r="F10" s="625"/>
      <c r="G10" s="625"/>
      <c r="H10" s="625"/>
      <c r="I10" s="632"/>
      <c r="J10" s="852">
        <f t="shared" ref="J10:J12" si="0">SUM(C10+E10+F10+H10)</f>
        <v>0</v>
      </c>
      <c r="K10" s="852">
        <f t="shared" ref="K10:K12" si="1">SUM(D10+G10+I10)</f>
        <v>0</v>
      </c>
      <c r="L10" s="852">
        <f t="shared" ref="L10:L12" si="2">SUM(J10:K10)</f>
        <v>0</v>
      </c>
      <c r="M10" s="852">
        <v>1846</v>
      </c>
      <c r="N10" s="852"/>
      <c r="O10" s="852">
        <f t="shared" ref="O10:O12" si="3">SUM(L10:N10)</f>
        <v>1846</v>
      </c>
    </row>
    <row r="11" spans="1:15" s="631" customFormat="1" x14ac:dyDescent="0.25">
      <c r="A11" s="634"/>
      <c r="B11" s="625" t="s">
        <v>179</v>
      </c>
      <c r="C11" s="625"/>
      <c r="D11" s="625"/>
      <c r="E11" s="625"/>
      <c r="F11" s="625"/>
      <c r="G11" s="625"/>
      <c r="H11" s="625"/>
      <c r="I11" s="632"/>
      <c r="J11" s="852"/>
      <c r="K11" s="852"/>
      <c r="L11" s="852"/>
      <c r="M11" s="852"/>
      <c r="N11" s="852"/>
      <c r="O11" s="852"/>
    </row>
    <row r="12" spans="1:15" s="631" customFormat="1" ht="16.5" thickBot="1" x14ac:dyDescent="0.3">
      <c r="A12" s="634"/>
      <c r="B12" s="637" t="s">
        <v>1111</v>
      </c>
      <c r="C12" s="625"/>
      <c r="D12" s="625"/>
      <c r="E12" s="625"/>
      <c r="F12" s="625"/>
      <c r="G12" s="625"/>
      <c r="H12" s="625"/>
      <c r="I12" s="632"/>
      <c r="J12" s="852">
        <f t="shared" si="0"/>
        <v>0</v>
      </c>
      <c r="K12" s="852">
        <f t="shared" si="1"/>
        <v>0</v>
      </c>
      <c r="L12" s="852">
        <f t="shared" si="2"/>
        <v>0</v>
      </c>
      <c r="M12" s="852">
        <v>2321</v>
      </c>
      <c r="N12" s="852"/>
      <c r="O12" s="852">
        <f t="shared" si="3"/>
        <v>2321</v>
      </c>
    </row>
    <row r="13" spans="1:15" s="631" customFormat="1" ht="17.25" thickTop="1" thickBot="1" x14ac:dyDescent="0.3">
      <c r="A13" s="620"/>
      <c r="B13" s="619" t="s">
        <v>736</v>
      </c>
      <c r="C13" s="619">
        <f>+C6+C10+C12</f>
        <v>384509</v>
      </c>
      <c r="D13" s="619">
        <f t="shared" ref="D13:O13" si="4">+D6+D10+D12</f>
        <v>0</v>
      </c>
      <c r="E13" s="619">
        <f t="shared" si="4"/>
        <v>0</v>
      </c>
      <c r="F13" s="619">
        <f t="shared" si="4"/>
        <v>3297</v>
      </c>
      <c r="G13" s="619">
        <f t="shared" si="4"/>
        <v>0</v>
      </c>
      <c r="H13" s="619">
        <f t="shared" si="4"/>
        <v>0</v>
      </c>
      <c r="I13" s="619">
        <f t="shared" si="4"/>
        <v>0</v>
      </c>
      <c r="J13" s="619">
        <f t="shared" si="4"/>
        <v>387806</v>
      </c>
      <c r="K13" s="619">
        <f t="shared" si="4"/>
        <v>0</v>
      </c>
      <c r="L13" s="619">
        <f t="shared" si="4"/>
        <v>387806</v>
      </c>
      <c r="M13" s="619">
        <f t="shared" si="4"/>
        <v>189270</v>
      </c>
      <c r="N13" s="619">
        <f t="shared" si="4"/>
        <v>77426</v>
      </c>
      <c r="O13" s="619">
        <f t="shared" si="4"/>
        <v>654502</v>
      </c>
    </row>
    <row r="14" spans="1:15" s="631" customFormat="1" ht="17.25" thickTop="1" thickBot="1" x14ac:dyDescent="0.3">
      <c r="A14" s="620"/>
      <c r="B14" s="619" t="s">
        <v>735</v>
      </c>
      <c r="C14" s="619">
        <f>+C7+C10</f>
        <v>292778</v>
      </c>
      <c r="D14" s="619">
        <f t="shared" ref="D14:O14" si="5">+D7+D10</f>
        <v>0</v>
      </c>
      <c r="E14" s="619">
        <f t="shared" si="5"/>
        <v>0</v>
      </c>
      <c r="F14" s="619">
        <f t="shared" si="5"/>
        <v>2472</v>
      </c>
      <c r="G14" s="619">
        <f t="shared" si="5"/>
        <v>0</v>
      </c>
      <c r="H14" s="619">
        <f t="shared" si="5"/>
        <v>0</v>
      </c>
      <c r="I14" s="619">
        <f t="shared" si="5"/>
        <v>0</v>
      </c>
      <c r="J14" s="619">
        <f t="shared" si="5"/>
        <v>295250</v>
      </c>
      <c r="K14" s="619">
        <f t="shared" si="5"/>
        <v>0</v>
      </c>
      <c r="L14" s="619">
        <f t="shared" si="5"/>
        <v>295250</v>
      </c>
      <c r="M14" s="619">
        <f t="shared" si="5"/>
        <v>138756</v>
      </c>
      <c r="N14" s="619">
        <f t="shared" si="5"/>
        <v>77426</v>
      </c>
      <c r="O14" s="619">
        <f t="shared" si="5"/>
        <v>511432</v>
      </c>
    </row>
    <row r="15" spans="1:15" s="631" customFormat="1" ht="17.25" thickTop="1" thickBot="1" x14ac:dyDescent="0.3">
      <c r="A15" s="620"/>
      <c r="B15" s="619" t="s">
        <v>734</v>
      </c>
      <c r="C15" s="619">
        <f>+C8+C12</f>
        <v>91731</v>
      </c>
      <c r="D15" s="619">
        <f t="shared" ref="D15:O15" si="6">+D8+D12</f>
        <v>0</v>
      </c>
      <c r="E15" s="619">
        <f t="shared" si="6"/>
        <v>0</v>
      </c>
      <c r="F15" s="619">
        <f t="shared" si="6"/>
        <v>825</v>
      </c>
      <c r="G15" s="619">
        <f t="shared" si="6"/>
        <v>0</v>
      </c>
      <c r="H15" s="619">
        <f t="shared" si="6"/>
        <v>0</v>
      </c>
      <c r="I15" s="619">
        <f t="shared" si="6"/>
        <v>0</v>
      </c>
      <c r="J15" s="619">
        <f t="shared" si="6"/>
        <v>92556</v>
      </c>
      <c r="K15" s="619">
        <f t="shared" si="6"/>
        <v>0</v>
      </c>
      <c r="L15" s="619">
        <f t="shared" si="6"/>
        <v>92556</v>
      </c>
      <c r="M15" s="619">
        <f t="shared" si="6"/>
        <v>50514</v>
      </c>
      <c r="N15" s="619">
        <f t="shared" si="6"/>
        <v>0</v>
      </c>
      <c r="O15" s="619">
        <f t="shared" si="6"/>
        <v>143070</v>
      </c>
    </row>
    <row r="16" spans="1:15" ht="32.25" thickTop="1" x14ac:dyDescent="0.25">
      <c r="A16" s="626" t="s">
        <v>193</v>
      </c>
      <c r="B16" s="628" t="s">
        <v>774</v>
      </c>
      <c r="C16" s="628"/>
      <c r="D16" s="628"/>
      <c r="E16" s="628"/>
      <c r="F16" s="628"/>
      <c r="G16" s="628"/>
      <c r="H16" s="628"/>
      <c r="I16" s="628"/>
      <c r="J16" s="624"/>
      <c r="K16" s="624"/>
      <c r="L16" s="624"/>
      <c r="M16" s="624"/>
      <c r="N16" s="624"/>
      <c r="O16" s="624"/>
    </row>
    <row r="17" spans="1:15" x14ac:dyDescent="0.25">
      <c r="A17" s="626"/>
      <c r="B17" s="624" t="s">
        <v>653</v>
      </c>
      <c r="C17" s="624">
        <v>5938</v>
      </c>
      <c r="D17" s="624"/>
      <c r="E17" s="624"/>
      <c r="F17" s="624">
        <v>13190</v>
      </c>
      <c r="G17" s="624"/>
      <c r="H17" s="624"/>
      <c r="I17" s="624"/>
      <c r="J17" s="624">
        <f>SUM(C17+E17+F17+H17)</f>
        <v>19128</v>
      </c>
      <c r="K17" s="624">
        <f>SUM(D17+G17+I17)</f>
        <v>0</v>
      </c>
      <c r="L17" s="624">
        <f>SUM(J17:K17)</f>
        <v>19128</v>
      </c>
      <c r="M17" s="624">
        <v>83956</v>
      </c>
      <c r="N17" s="624">
        <v>469</v>
      </c>
      <c r="O17" s="624">
        <f>SUM(L17:N17)</f>
        <v>103553</v>
      </c>
    </row>
    <row r="18" spans="1:15" x14ac:dyDescent="0.25">
      <c r="A18" s="634"/>
      <c r="B18" s="625" t="s">
        <v>738</v>
      </c>
      <c r="C18" s="625">
        <v>5938</v>
      </c>
      <c r="D18" s="625"/>
      <c r="E18" s="625"/>
      <c r="F18" s="625">
        <v>5277</v>
      </c>
      <c r="G18" s="625"/>
      <c r="H18" s="625"/>
      <c r="I18" s="625"/>
      <c r="J18" s="632">
        <f>SUM(C18+E18+F18+H18)</f>
        <v>11215</v>
      </c>
      <c r="K18" s="632">
        <f>SUM(D18+G18+I18)</f>
        <v>0</v>
      </c>
      <c r="L18" s="632">
        <f>SUM(J18:K18)</f>
        <v>11215</v>
      </c>
      <c r="M18" s="632">
        <v>35788</v>
      </c>
      <c r="N18" s="632">
        <v>469</v>
      </c>
      <c r="O18" s="632">
        <f>SUM(L18:N18)</f>
        <v>47472</v>
      </c>
    </row>
    <row r="19" spans="1:15" x14ac:dyDescent="0.25">
      <c r="A19" s="634"/>
      <c r="B19" s="625" t="s">
        <v>737</v>
      </c>
      <c r="C19" s="625"/>
      <c r="D19" s="625"/>
      <c r="E19" s="625"/>
      <c r="F19" s="625">
        <v>7913</v>
      </c>
      <c r="G19" s="625"/>
      <c r="H19" s="625"/>
      <c r="I19" s="625"/>
      <c r="J19" s="632">
        <f>SUM(C19+E19+F19+H19)</f>
        <v>7913</v>
      </c>
      <c r="K19" s="632">
        <f>SUM(D19+G19+I19)</f>
        <v>0</v>
      </c>
      <c r="L19" s="632">
        <f>SUM(J19:K19)</f>
        <v>7913</v>
      </c>
      <c r="M19" s="632">
        <v>48168</v>
      </c>
      <c r="N19" s="632"/>
      <c r="O19" s="632">
        <f>SUM(L19:N19)</f>
        <v>56081</v>
      </c>
    </row>
    <row r="20" spans="1:15" x14ac:dyDescent="0.25">
      <c r="A20" s="634"/>
      <c r="B20" s="625" t="s">
        <v>178</v>
      </c>
      <c r="C20" s="625"/>
      <c r="D20" s="625"/>
      <c r="E20" s="625"/>
      <c r="F20" s="625"/>
      <c r="G20" s="625"/>
      <c r="H20" s="625"/>
      <c r="I20" s="625"/>
      <c r="J20" s="632"/>
      <c r="K20" s="632"/>
      <c r="L20" s="632"/>
      <c r="M20" s="632"/>
      <c r="N20" s="632"/>
      <c r="O20" s="632"/>
    </row>
    <row r="21" spans="1:15" s="631" customFormat="1" x14ac:dyDescent="0.25">
      <c r="A21" s="634"/>
      <c r="B21" s="852" t="s">
        <v>1110</v>
      </c>
      <c r="C21" s="625"/>
      <c r="D21" s="625"/>
      <c r="E21" s="625"/>
      <c r="F21" s="625"/>
      <c r="G21" s="625"/>
      <c r="H21" s="625"/>
      <c r="I21" s="625"/>
      <c r="J21" s="852">
        <f t="shared" ref="J21:J25" si="7">SUM(C21+E21+F21+H21)</f>
        <v>0</v>
      </c>
      <c r="K21" s="852">
        <f t="shared" ref="K21:K25" si="8">SUM(D21+G21+I21)</f>
        <v>0</v>
      </c>
      <c r="L21" s="852">
        <f t="shared" ref="L21:L25" si="9">SUM(J21:K21)</f>
        <v>0</v>
      </c>
      <c r="M21" s="852">
        <v>302</v>
      </c>
      <c r="N21" s="852"/>
      <c r="O21" s="852">
        <f t="shared" ref="O21:O25" si="10">SUM(L21:N21)</f>
        <v>302</v>
      </c>
    </row>
    <row r="22" spans="1:15" s="631" customFormat="1" ht="31.5" x14ac:dyDescent="0.25">
      <c r="A22" s="634"/>
      <c r="B22" s="852" t="s">
        <v>1112</v>
      </c>
      <c r="C22" s="852"/>
      <c r="D22" s="625"/>
      <c r="E22" s="625"/>
      <c r="F22" s="625"/>
      <c r="G22" s="625"/>
      <c r="H22" s="625"/>
      <c r="I22" s="625"/>
      <c r="J22" s="852">
        <f t="shared" si="7"/>
        <v>0</v>
      </c>
      <c r="K22" s="852">
        <f t="shared" si="8"/>
        <v>0</v>
      </c>
      <c r="L22" s="852">
        <f t="shared" si="9"/>
        <v>0</v>
      </c>
      <c r="M22" s="852">
        <v>491</v>
      </c>
      <c r="N22" s="852"/>
      <c r="O22" s="852">
        <f t="shared" si="10"/>
        <v>491</v>
      </c>
    </row>
    <row r="23" spans="1:15" s="631" customFormat="1" x14ac:dyDescent="0.25">
      <c r="A23" s="634"/>
      <c r="B23" s="625" t="s">
        <v>179</v>
      </c>
      <c r="C23" s="625"/>
      <c r="D23" s="625"/>
      <c r="E23" s="625"/>
      <c r="F23" s="625"/>
      <c r="G23" s="625"/>
      <c r="H23" s="625"/>
      <c r="I23" s="625"/>
      <c r="J23" s="852"/>
      <c r="K23" s="852"/>
      <c r="L23" s="852"/>
      <c r="M23" s="852"/>
      <c r="N23" s="852"/>
      <c r="O23" s="852"/>
    </row>
    <row r="24" spans="1:15" s="631" customFormat="1" x14ac:dyDescent="0.25">
      <c r="A24" s="634"/>
      <c r="B24" s="637" t="s">
        <v>1111</v>
      </c>
      <c r="C24" s="625"/>
      <c r="D24" s="625"/>
      <c r="E24" s="625"/>
      <c r="F24" s="625"/>
      <c r="G24" s="625"/>
      <c r="H24" s="625"/>
      <c r="I24" s="625"/>
      <c r="J24" s="852">
        <f t="shared" si="7"/>
        <v>0</v>
      </c>
      <c r="K24" s="852">
        <f t="shared" si="8"/>
        <v>0</v>
      </c>
      <c r="L24" s="852">
        <f t="shared" si="9"/>
        <v>0</v>
      </c>
      <c r="M24" s="852">
        <v>485</v>
      </c>
      <c r="N24" s="852"/>
      <c r="O24" s="852">
        <f t="shared" si="10"/>
        <v>485</v>
      </c>
    </row>
    <row r="25" spans="1:15" s="631" customFormat="1" ht="32.25" thickBot="1" x14ac:dyDescent="0.3">
      <c r="A25" s="634"/>
      <c r="B25" s="852" t="s">
        <v>1113</v>
      </c>
      <c r="C25" s="625"/>
      <c r="D25" s="625"/>
      <c r="E25" s="625"/>
      <c r="F25" s="625"/>
      <c r="G25" s="625"/>
      <c r="H25" s="625"/>
      <c r="I25" s="625"/>
      <c r="J25" s="852">
        <f t="shared" si="7"/>
        <v>0</v>
      </c>
      <c r="K25" s="852">
        <f t="shared" si="8"/>
        <v>0</v>
      </c>
      <c r="L25" s="852">
        <f t="shared" si="9"/>
        <v>0</v>
      </c>
      <c r="M25" s="852">
        <v>44</v>
      </c>
      <c r="N25" s="852"/>
      <c r="O25" s="852">
        <f t="shared" si="10"/>
        <v>44</v>
      </c>
    </row>
    <row r="26" spans="1:15" s="631" customFormat="1" ht="17.25" thickTop="1" thickBot="1" x14ac:dyDescent="0.3">
      <c r="A26" s="620"/>
      <c r="B26" s="619" t="s">
        <v>736</v>
      </c>
      <c r="C26" s="619">
        <f>+C17+C21+C22+C24+C25</f>
        <v>5938</v>
      </c>
      <c r="D26" s="619">
        <f t="shared" ref="D26:O26" si="11">+D17+D21+D22+D24+D25</f>
        <v>0</v>
      </c>
      <c r="E26" s="619">
        <f t="shared" si="11"/>
        <v>0</v>
      </c>
      <c r="F26" s="619">
        <f t="shared" si="11"/>
        <v>13190</v>
      </c>
      <c r="G26" s="619">
        <f t="shared" si="11"/>
        <v>0</v>
      </c>
      <c r="H26" s="619">
        <f t="shared" si="11"/>
        <v>0</v>
      </c>
      <c r="I26" s="619">
        <f t="shared" si="11"/>
        <v>0</v>
      </c>
      <c r="J26" s="619">
        <f t="shared" si="11"/>
        <v>19128</v>
      </c>
      <c r="K26" s="619">
        <f t="shared" si="11"/>
        <v>0</v>
      </c>
      <c r="L26" s="619">
        <f t="shared" si="11"/>
        <v>19128</v>
      </c>
      <c r="M26" s="619">
        <f t="shared" si="11"/>
        <v>85278</v>
      </c>
      <c r="N26" s="619">
        <f t="shared" si="11"/>
        <v>469</v>
      </c>
      <c r="O26" s="619">
        <f t="shared" si="11"/>
        <v>104875</v>
      </c>
    </row>
    <row r="27" spans="1:15" s="631" customFormat="1" ht="17.25" thickTop="1" thickBot="1" x14ac:dyDescent="0.3">
      <c r="A27" s="620"/>
      <c r="B27" s="619" t="s">
        <v>735</v>
      </c>
      <c r="C27" s="619">
        <f>+C18+C21+C22</f>
        <v>5938</v>
      </c>
      <c r="D27" s="619">
        <f t="shared" ref="D27:O27" si="12">+D18+D21+D22</f>
        <v>0</v>
      </c>
      <c r="E27" s="619">
        <f t="shared" si="12"/>
        <v>0</v>
      </c>
      <c r="F27" s="619">
        <f t="shared" si="12"/>
        <v>5277</v>
      </c>
      <c r="G27" s="619">
        <f t="shared" si="12"/>
        <v>0</v>
      </c>
      <c r="H27" s="619">
        <f t="shared" si="12"/>
        <v>0</v>
      </c>
      <c r="I27" s="619">
        <f t="shared" si="12"/>
        <v>0</v>
      </c>
      <c r="J27" s="619">
        <f t="shared" si="12"/>
        <v>11215</v>
      </c>
      <c r="K27" s="619">
        <f t="shared" si="12"/>
        <v>0</v>
      </c>
      <c r="L27" s="619">
        <f t="shared" si="12"/>
        <v>11215</v>
      </c>
      <c r="M27" s="619">
        <f t="shared" si="12"/>
        <v>36581</v>
      </c>
      <c r="N27" s="619">
        <f t="shared" si="12"/>
        <v>469</v>
      </c>
      <c r="O27" s="619">
        <f t="shared" si="12"/>
        <v>48265</v>
      </c>
    </row>
    <row r="28" spans="1:15" s="631" customFormat="1" ht="17.25" thickTop="1" thickBot="1" x14ac:dyDescent="0.3">
      <c r="A28" s="620"/>
      <c r="B28" s="619" t="s">
        <v>734</v>
      </c>
      <c r="C28" s="619">
        <f t="shared" ref="C28:O28" si="13">+C19+C24+C25</f>
        <v>0</v>
      </c>
      <c r="D28" s="619">
        <f t="shared" si="13"/>
        <v>0</v>
      </c>
      <c r="E28" s="619">
        <f t="shared" si="13"/>
        <v>0</v>
      </c>
      <c r="F28" s="619">
        <f t="shared" si="13"/>
        <v>7913</v>
      </c>
      <c r="G28" s="619">
        <f t="shared" si="13"/>
        <v>0</v>
      </c>
      <c r="H28" s="619">
        <f t="shared" si="13"/>
        <v>0</v>
      </c>
      <c r="I28" s="619">
        <f t="shared" si="13"/>
        <v>0</v>
      </c>
      <c r="J28" s="619">
        <f t="shared" si="13"/>
        <v>7913</v>
      </c>
      <c r="K28" s="619">
        <f t="shared" si="13"/>
        <v>0</v>
      </c>
      <c r="L28" s="619">
        <f t="shared" si="13"/>
        <v>7913</v>
      </c>
      <c r="M28" s="619">
        <f t="shared" si="13"/>
        <v>48697</v>
      </c>
      <c r="N28" s="619">
        <f t="shared" si="13"/>
        <v>0</v>
      </c>
      <c r="O28" s="619">
        <f t="shared" si="13"/>
        <v>56610</v>
      </c>
    </row>
    <row r="29" spans="1:15" s="631" customFormat="1" ht="17.25" thickTop="1" thickBot="1" x14ac:dyDescent="0.3">
      <c r="A29" s="620"/>
      <c r="B29" s="619" t="s">
        <v>773</v>
      </c>
      <c r="C29" s="619">
        <f t="shared" ref="C29:O29" si="14">SUM(C13+C26)</f>
        <v>390447</v>
      </c>
      <c r="D29" s="619">
        <f t="shared" si="14"/>
        <v>0</v>
      </c>
      <c r="E29" s="619">
        <f t="shared" si="14"/>
        <v>0</v>
      </c>
      <c r="F29" s="619">
        <f t="shared" si="14"/>
        <v>16487</v>
      </c>
      <c r="G29" s="619">
        <f t="shared" si="14"/>
        <v>0</v>
      </c>
      <c r="H29" s="619">
        <f t="shared" si="14"/>
        <v>0</v>
      </c>
      <c r="I29" s="619">
        <f t="shared" si="14"/>
        <v>0</v>
      </c>
      <c r="J29" s="619">
        <f t="shared" si="14"/>
        <v>406934</v>
      </c>
      <c r="K29" s="619">
        <f t="shared" si="14"/>
        <v>0</v>
      </c>
      <c r="L29" s="619">
        <f t="shared" si="14"/>
        <v>406934</v>
      </c>
      <c r="M29" s="619">
        <f t="shared" si="14"/>
        <v>274548</v>
      </c>
      <c r="N29" s="619">
        <f t="shared" si="14"/>
        <v>77895</v>
      </c>
      <c r="O29" s="619">
        <f t="shared" si="14"/>
        <v>759377</v>
      </c>
    </row>
    <row r="30" spans="1:15" s="631" customFormat="1" ht="16.5" thickTop="1" x14ac:dyDescent="0.25">
      <c r="A30" s="626" t="s">
        <v>194</v>
      </c>
      <c r="B30" s="635" t="s">
        <v>772</v>
      </c>
      <c r="C30" s="635"/>
      <c r="D30" s="635"/>
      <c r="E30" s="635"/>
      <c r="F30" s="635"/>
      <c r="G30" s="635"/>
      <c r="H30" s="635"/>
      <c r="I30" s="635"/>
      <c r="J30" s="635"/>
      <c r="K30" s="635"/>
      <c r="L30" s="635"/>
      <c r="M30" s="635"/>
      <c r="N30" s="635"/>
      <c r="O30" s="635"/>
    </row>
    <row r="31" spans="1:15" x14ac:dyDescent="0.25">
      <c r="A31" s="626"/>
      <c r="B31" s="624" t="s">
        <v>653</v>
      </c>
      <c r="C31" s="624">
        <v>4956</v>
      </c>
      <c r="D31" s="624"/>
      <c r="E31" s="624"/>
      <c r="F31" s="624">
        <v>1485</v>
      </c>
      <c r="G31" s="624"/>
      <c r="H31" s="624"/>
      <c r="I31" s="624"/>
      <c r="J31" s="624">
        <f>SUM(C31+E31+F31+H31)</f>
        <v>6441</v>
      </c>
      <c r="K31" s="624">
        <f>SUM(D31+G31+I31)</f>
        <v>0</v>
      </c>
      <c r="L31" s="624">
        <f>SUM(J31:K31)</f>
        <v>6441</v>
      </c>
      <c r="M31" s="624">
        <v>66523</v>
      </c>
      <c r="N31" s="624">
        <v>392</v>
      </c>
      <c r="O31" s="624">
        <f>SUM(L31:N31)</f>
        <v>73356</v>
      </c>
    </row>
    <row r="32" spans="1:15" x14ac:dyDescent="0.25">
      <c r="A32" s="634"/>
      <c r="B32" s="625" t="s">
        <v>738</v>
      </c>
      <c r="C32" s="625">
        <v>4956</v>
      </c>
      <c r="D32" s="625"/>
      <c r="E32" s="625"/>
      <c r="F32" s="625">
        <v>1485</v>
      </c>
      <c r="G32" s="625"/>
      <c r="H32" s="625"/>
      <c r="I32" s="625"/>
      <c r="J32" s="632">
        <f>SUM(C32+E32+F32+H32)</f>
        <v>6441</v>
      </c>
      <c r="K32" s="632">
        <f>SUM(D32+G32+I32)</f>
        <v>0</v>
      </c>
      <c r="L32" s="632">
        <f>SUM(J32:K32)</f>
        <v>6441</v>
      </c>
      <c r="M32" s="632">
        <v>65696</v>
      </c>
      <c r="N32" s="632">
        <v>392</v>
      </c>
      <c r="O32" s="632">
        <f>SUM(L32:N32)</f>
        <v>72529</v>
      </c>
    </row>
    <row r="33" spans="1:15" x14ac:dyDescent="0.25">
      <c r="A33" s="633"/>
      <c r="B33" s="629" t="s">
        <v>737</v>
      </c>
      <c r="C33" s="629"/>
      <c r="D33" s="629"/>
      <c r="E33" s="629"/>
      <c r="F33" s="629"/>
      <c r="G33" s="629"/>
      <c r="H33" s="629"/>
      <c r="I33" s="629"/>
      <c r="J33" s="645">
        <f>SUM(C33+E33+F33+H33)</f>
        <v>0</v>
      </c>
      <c r="K33" s="645">
        <f>SUM(D33+G33+I33)</f>
        <v>0</v>
      </c>
      <c r="L33" s="645">
        <f>SUM(J33:K33)</f>
        <v>0</v>
      </c>
      <c r="M33" s="645">
        <v>827</v>
      </c>
      <c r="N33" s="645"/>
      <c r="O33" s="645">
        <f>SUM(L33:N33)</f>
        <v>827</v>
      </c>
    </row>
    <row r="34" spans="1:15" x14ac:dyDescent="0.25">
      <c r="A34" s="634"/>
      <c r="B34" s="625" t="s">
        <v>178</v>
      </c>
      <c r="C34" s="625"/>
      <c r="D34" s="625"/>
      <c r="E34" s="625"/>
      <c r="F34" s="625"/>
      <c r="G34" s="625"/>
      <c r="H34" s="625"/>
      <c r="I34" s="625"/>
      <c r="J34" s="632"/>
      <c r="K34" s="632"/>
      <c r="L34" s="632"/>
      <c r="M34" s="632"/>
      <c r="N34" s="632"/>
      <c r="O34" s="632"/>
    </row>
    <row r="35" spans="1:15" x14ac:dyDescent="0.25">
      <c r="A35" s="633"/>
      <c r="B35" s="853" t="s">
        <v>1110</v>
      </c>
      <c r="C35" s="853"/>
      <c r="D35" s="629"/>
      <c r="E35" s="629"/>
      <c r="F35" s="629"/>
      <c r="G35" s="629"/>
      <c r="H35" s="629"/>
      <c r="I35" s="629"/>
      <c r="J35" s="853">
        <f t="shared" ref="J35:J39" si="15">SUM(C35+E35+F35+H35)</f>
        <v>0</v>
      </c>
      <c r="K35" s="853">
        <f t="shared" ref="K35:K39" si="16">SUM(D35+G35+I35)</f>
        <v>0</v>
      </c>
      <c r="L35" s="853">
        <f t="shared" ref="L35:L39" si="17">SUM(J35:K35)</f>
        <v>0</v>
      </c>
      <c r="M35" s="853">
        <v>145</v>
      </c>
      <c r="N35" s="853"/>
      <c r="O35" s="853">
        <f t="shared" ref="O35:O39" si="18">SUM(L35:N35)</f>
        <v>145</v>
      </c>
    </row>
    <row r="36" spans="1:15" ht="31.5" x14ac:dyDescent="0.25">
      <c r="A36" s="634"/>
      <c r="B36" s="852" t="s">
        <v>1112</v>
      </c>
      <c r="C36" s="852"/>
      <c r="D36" s="625"/>
      <c r="E36" s="625"/>
      <c r="F36" s="625"/>
      <c r="G36" s="625"/>
      <c r="H36" s="625"/>
      <c r="I36" s="625"/>
      <c r="J36" s="852">
        <f t="shared" si="15"/>
        <v>0</v>
      </c>
      <c r="K36" s="852">
        <f t="shared" si="16"/>
        <v>0</v>
      </c>
      <c r="L36" s="852">
        <f t="shared" si="17"/>
        <v>0</v>
      </c>
      <c r="M36" s="852">
        <v>184</v>
      </c>
      <c r="N36" s="852"/>
      <c r="O36" s="852">
        <f t="shared" si="18"/>
        <v>184</v>
      </c>
    </row>
    <row r="37" spans="1:15" s="631" customFormat="1" ht="31.5" x14ac:dyDescent="0.25">
      <c r="A37" s="634"/>
      <c r="B37" s="852" t="s">
        <v>941</v>
      </c>
      <c r="C37" s="852"/>
      <c r="D37" s="625"/>
      <c r="E37" s="625"/>
      <c r="F37" s="625"/>
      <c r="G37" s="625"/>
      <c r="H37" s="625"/>
      <c r="I37" s="625"/>
      <c r="J37" s="852">
        <f t="shared" si="15"/>
        <v>0</v>
      </c>
      <c r="K37" s="852">
        <f t="shared" si="16"/>
        <v>0</v>
      </c>
      <c r="L37" s="852">
        <f t="shared" si="17"/>
        <v>0</v>
      </c>
      <c r="M37" s="852">
        <v>277</v>
      </c>
      <c r="N37" s="852"/>
      <c r="O37" s="852">
        <f t="shared" si="18"/>
        <v>277</v>
      </c>
    </row>
    <row r="38" spans="1:15" s="631" customFormat="1" x14ac:dyDescent="0.25">
      <c r="A38" s="634"/>
      <c r="B38" s="625" t="s">
        <v>179</v>
      </c>
      <c r="C38" s="625"/>
      <c r="D38" s="625"/>
      <c r="E38" s="625"/>
      <c r="F38" s="625"/>
      <c r="G38" s="625"/>
      <c r="H38" s="625"/>
      <c r="I38" s="625"/>
      <c r="J38" s="852"/>
      <c r="K38" s="852"/>
      <c r="L38" s="852"/>
      <c r="M38" s="852"/>
      <c r="N38" s="852"/>
      <c r="O38" s="852"/>
    </row>
    <row r="39" spans="1:15" s="631" customFormat="1" ht="16.5" thickBot="1" x14ac:dyDescent="0.3">
      <c r="A39" s="633"/>
      <c r="B39" s="637" t="s">
        <v>1111</v>
      </c>
      <c r="C39" s="629"/>
      <c r="D39" s="629"/>
      <c r="E39" s="629"/>
      <c r="F39" s="629"/>
      <c r="G39" s="629"/>
      <c r="H39" s="629"/>
      <c r="I39" s="629"/>
      <c r="J39" s="853">
        <f t="shared" si="15"/>
        <v>0</v>
      </c>
      <c r="K39" s="853">
        <f t="shared" si="16"/>
        <v>0</v>
      </c>
      <c r="L39" s="853">
        <f t="shared" si="17"/>
        <v>0</v>
      </c>
      <c r="M39" s="853">
        <v>454</v>
      </c>
      <c r="N39" s="853"/>
      <c r="O39" s="853">
        <f t="shared" si="18"/>
        <v>454</v>
      </c>
    </row>
    <row r="40" spans="1:15" s="631" customFormat="1" ht="17.25" thickTop="1" thickBot="1" x14ac:dyDescent="0.3">
      <c r="A40" s="620"/>
      <c r="B40" s="619" t="s">
        <v>736</v>
      </c>
      <c r="C40" s="619">
        <f>+C31+C35+C36+C37+C39</f>
        <v>4956</v>
      </c>
      <c r="D40" s="619">
        <f t="shared" ref="D40:O40" si="19">+D31+D35+D36+D37+D39</f>
        <v>0</v>
      </c>
      <c r="E40" s="619">
        <f t="shared" si="19"/>
        <v>0</v>
      </c>
      <c r="F40" s="619">
        <f t="shared" si="19"/>
        <v>1485</v>
      </c>
      <c r="G40" s="619">
        <f t="shared" si="19"/>
        <v>0</v>
      </c>
      <c r="H40" s="619">
        <f t="shared" si="19"/>
        <v>0</v>
      </c>
      <c r="I40" s="619">
        <f t="shared" si="19"/>
        <v>0</v>
      </c>
      <c r="J40" s="619">
        <f t="shared" si="19"/>
        <v>6441</v>
      </c>
      <c r="K40" s="619">
        <f t="shared" si="19"/>
        <v>0</v>
      </c>
      <c r="L40" s="619">
        <f t="shared" si="19"/>
        <v>6441</v>
      </c>
      <c r="M40" s="619">
        <f t="shared" si="19"/>
        <v>67583</v>
      </c>
      <c r="N40" s="619">
        <f t="shared" si="19"/>
        <v>392</v>
      </c>
      <c r="O40" s="619">
        <f t="shared" si="19"/>
        <v>74416</v>
      </c>
    </row>
    <row r="41" spans="1:15" s="631" customFormat="1" ht="17.25" thickTop="1" thickBot="1" x14ac:dyDescent="0.3">
      <c r="A41" s="620"/>
      <c r="B41" s="619" t="s">
        <v>735</v>
      </c>
      <c r="C41" s="619">
        <f>+C32+C35+C36+C37</f>
        <v>4956</v>
      </c>
      <c r="D41" s="619">
        <f t="shared" ref="D41:O41" si="20">+D32+D35+D36+D37</f>
        <v>0</v>
      </c>
      <c r="E41" s="619">
        <f t="shared" si="20"/>
        <v>0</v>
      </c>
      <c r="F41" s="619">
        <f t="shared" si="20"/>
        <v>1485</v>
      </c>
      <c r="G41" s="619">
        <f t="shared" si="20"/>
        <v>0</v>
      </c>
      <c r="H41" s="619">
        <f t="shared" si="20"/>
        <v>0</v>
      </c>
      <c r="I41" s="619">
        <f t="shared" si="20"/>
        <v>0</v>
      </c>
      <c r="J41" s="619">
        <f t="shared" si="20"/>
        <v>6441</v>
      </c>
      <c r="K41" s="619">
        <f t="shared" si="20"/>
        <v>0</v>
      </c>
      <c r="L41" s="619">
        <f t="shared" si="20"/>
        <v>6441</v>
      </c>
      <c r="M41" s="619">
        <f t="shared" si="20"/>
        <v>66302</v>
      </c>
      <c r="N41" s="619">
        <f t="shared" si="20"/>
        <v>392</v>
      </c>
      <c r="O41" s="619">
        <f t="shared" si="20"/>
        <v>73135</v>
      </c>
    </row>
    <row r="42" spans="1:15" s="631" customFormat="1" ht="17.25" thickTop="1" thickBot="1" x14ac:dyDescent="0.3">
      <c r="A42" s="620"/>
      <c r="B42" s="619" t="s">
        <v>734</v>
      </c>
      <c r="C42" s="619">
        <f>+C33+C39</f>
        <v>0</v>
      </c>
      <c r="D42" s="619">
        <f t="shared" ref="D42:O42" si="21">+D33+D39</f>
        <v>0</v>
      </c>
      <c r="E42" s="619">
        <f t="shared" si="21"/>
        <v>0</v>
      </c>
      <c r="F42" s="619">
        <f t="shared" si="21"/>
        <v>0</v>
      </c>
      <c r="G42" s="619">
        <f t="shared" si="21"/>
        <v>0</v>
      </c>
      <c r="H42" s="619">
        <f t="shared" si="21"/>
        <v>0</v>
      </c>
      <c r="I42" s="619">
        <f t="shared" si="21"/>
        <v>0</v>
      </c>
      <c r="J42" s="619">
        <f t="shared" si="21"/>
        <v>0</v>
      </c>
      <c r="K42" s="619">
        <f t="shared" si="21"/>
        <v>0</v>
      </c>
      <c r="L42" s="619">
        <f t="shared" si="21"/>
        <v>0</v>
      </c>
      <c r="M42" s="619">
        <f t="shared" si="21"/>
        <v>1281</v>
      </c>
      <c r="N42" s="619">
        <f t="shared" si="21"/>
        <v>0</v>
      </c>
      <c r="O42" s="619">
        <f t="shared" si="21"/>
        <v>1281</v>
      </c>
    </row>
    <row r="43" spans="1:15" s="631" customFormat="1" ht="16.5" thickTop="1" x14ac:dyDescent="0.25">
      <c r="A43" s="626" t="s">
        <v>195</v>
      </c>
      <c r="B43" s="628" t="s">
        <v>771</v>
      </c>
      <c r="C43" s="628"/>
      <c r="D43" s="628"/>
      <c r="E43" s="628"/>
      <c r="F43" s="628"/>
      <c r="G43" s="628"/>
      <c r="H43" s="628"/>
      <c r="I43" s="628"/>
      <c r="J43" s="628"/>
      <c r="K43" s="628"/>
      <c r="L43" s="628"/>
      <c r="M43" s="628"/>
      <c r="N43" s="628"/>
      <c r="O43" s="628"/>
    </row>
    <row r="44" spans="1:15" s="631" customFormat="1" x14ac:dyDescent="0.25">
      <c r="A44" s="630"/>
      <c r="B44" s="628" t="s">
        <v>653</v>
      </c>
      <c r="C44" s="628">
        <v>5102</v>
      </c>
      <c r="D44" s="628"/>
      <c r="E44" s="628"/>
      <c r="F44" s="628">
        <v>3006</v>
      </c>
      <c r="G44" s="628"/>
      <c r="H44" s="628"/>
      <c r="I44" s="628"/>
      <c r="J44" s="628">
        <f>SUM(C44+E44+F44+H44)</f>
        <v>8108</v>
      </c>
      <c r="K44" s="628">
        <f>SUM(D44+G44+I44)</f>
        <v>0</v>
      </c>
      <c r="L44" s="628">
        <f>SUM(J44:K44)</f>
        <v>8108</v>
      </c>
      <c r="M44" s="628">
        <v>71311</v>
      </c>
      <c r="N44" s="628">
        <v>72</v>
      </c>
      <c r="O44" s="628">
        <f>SUM(L44:N44)</f>
        <v>79491</v>
      </c>
    </row>
    <row r="45" spans="1:15" s="631" customFormat="1" x14ac:dyDescent="0.25">
      <c r="A45" s="633"/>
      <c r="B45" s="629" t="s">
        <v>738</v>
      </c>
      <c r="C45" s="629">
        <v>5102</v>
      </c>
      <c r="D45" s="629"/>
      <c r="E45" s="629"/>
      <c r="F45" s="629">
        <v>3006</v>
      </c>
      <c r="G45" s="629"/>
      <c r="H45" s="629"/>
      <c r="I45" s="629"/>
      <c r="J45" s="645">
        <f>SUM(C45+E45+F45+H45)</f>
        <v>8108</v>
      </c>
      <c r="K45" s="645">
        <f>SUM(D45+G45+I45)</f>
        <v>0</v>
      </c>
      <c r="L45" s="645">
        <f>SUM(J45:K45)</f>
        <v>8108</v>
      </c>
      <c r="M45" s="645">
        <v>70500</v>
      </c>
      <c r="N45" s="645">
        <v>72</v>
      </c>
      <c r="O45" s="645">
        <f>SUM(L45:N45)</f>
        <v>78680</v>
      </c>
    </row>
    <row r="46" spans="1:15" s="631" customFormat="1" x14ac:dyDescent="0.25">
      <c r="A46" s="634"/>
      <c r="B46" s="625" t="s">
        <v>737</v>
      </c>
      <c r="C46" s="625"/>
      <c r="D46" s="625"/>
      <c r="E46" s="625"/>
      <c r="F46" s="625"/>
      <c r="G46" s="625"/>
      <c r="H46" s="625"/>
      <c r="I46" s="625"/>
      <c r="J46" s="632">
        <f>SUM(C46+E46+F46+H46)</f>
        <v>0</v>
      </c>
      <c r="K46" s="632">
        <f>SUM(D46+G46+I46)</f>
        <v>0</v>
      </c>
      <c r="L46" s="632">
        <f>SUM(J46:K46)</f>
        <v>0</v>
      </c>
      <c r="M46" s="632">
        <v>811</v>
      </c>
      <c r="N46" s="632"/>
      <c r="O46" s="632">
        <f>SUM(L46:N46)</f>
        <v>811</v>
      </c>
    </row>
    <row r="47" spans="1:15" s="631" customFormat="1" x14ac:dyDescent="0.25">
      <c r="A47" s="634"/>
      <c r="B47" s="625" t="s">
        <v>178</v>
      </c>
      <c r="C47" s="625"/>
      <c r="D47" s="625"/>
      <c r="E47" s="625"/>
      <c r="F47" s="625"/>
      <c r="G47" s="625"/>
      <c r="H47" s="625"/>
      <c r="I47" s="625"/>
      <c r="J47" s="632"/>
      <c r="K47" s="632"/>
      <c r="L47" s="632"/>
      <c r="M47" s="632"/>
      <c r="N47" s="632"/>
      <c r="O47" s="632"/>
    </row>
    <row r="48" spans="1:15" s="631" customFormat="1" x14ac:dyDescent="0.25">
      <c r="A48" s="634"/>
      <c r="B48" s="852" t="s">
        <v>1110</v>
      </c>
      <c r="C48" s="625"/>
      <c r="D48" s="625"/>
      <c r="E48" s="625"/>
      <c r="F48" s="625"/>
      <c r="G48" s="625"/>
      <c r="H48" s="625"/>
      <c r="I48" s="625"/>
      <c r="J48" s="852">
        <f t="shared" ref="J48:J51" si="22">SUM(C48+E48+F48+H48)</f>
        <v>0</v>
      </c>
      <c r="K48" s="852">
        <f t="shared" ref="K48:K51" si="23">SUM(D48+G48+I48)</f>
        <v>0</v>
      </c>
      <c r="L48" s="852">
        <f t="shared" ref="L48:L51" si="24">SUM(J48:K48)</f>
        <v>0</v>
      </c>
      <c r="M48" s="852">
        <v>312</v>
      </c>
      <c r="N48" s="852"/>
      <c r="O48" s="852">
        <f t="shared" ref="O48:O51" si="25">SUM(L48:N48)</f>
        <v>312</v>
      </c>
    </row>
    <row r="49" spans="1:15" ht="31.5" x14ac:dyDescent="0.25">
      <c r="A49" s="634"/>
      <c r="B49" s="852" t="s">
        <v>1112</v>
      </c>
      <c r="C49" s="852"/>
      <c r="D49" s="625"/>
      <c r="E49" s="625"/>
      <c r="F49" s="625"/>
      <c r="G49" s="625"/>
      <c r="H49" s="625"/>
      <c r="I49" s="625"/>
      <c r="J49" s="852">
        <f t="shared" si="22"/>
        <v>0</v>
      </c>
      <c r="K49" s="852">
        <f t="shared" si="23"/>
        <v>0</v>
      </c>
      <c r="L49" s="852">
        <f t="shared" si="24"/>
        <v>0</v>
      </c>
      <c r="M49" s="852">
        <v>331</v>
      </c>
      <c r="N49" s="852"/>
      <c r="O49" s="852">
        <f t="shared" si="25"/>
        <v>331</v>
      </c>
    </row>
    <row r="50" spans="1:15" x14ac:dyDescent="0.25">
      <c r="A50" s="634"/>
      <c r="B50" s="625" t="s">
        <v>179</v>
      </c>
      <c r="C50" s="625"/>
      <c r="D50" s="625"/>
      <c r="E50" s="625"/>
      <c r="F50" s="625"/>
      <c r="G50" s="625"/>
      <c r="H50" s="625"/>
      <c r="I50" s="625"/>
      <c r="J50" s="852"/>
      <c r="K50" s="852"/>
      <c r="L50" s="852"/>
      <c r="M50" s="852"/>
      <c r="N50" s="852"/>
      <c r="O50" s="852"/>
    </row>
    <row r="51" spans="1:15" ht="16.5" thickBot="1" x14ac:dyDescent="0.3">
      <c r="A51" s="634"/>
      <c r="B51" s="637" t="s">
        <v>1111</v>
      </c>
      <c r="C51" s="625"/>
      <c r="D51" s="625"/>
      <c r="E51" s="625"/>
      <c r="F51" s="625"/>
      <c r="G51" s="625"/>
      <c r="H51" s="625"/>
      <c r="I51" s="625"/>
      <c r="J51" s="852">
        <f t="shared" si="22"/>
        <v>0</v>
      </c>
      <c r="K51" s="852">
        <f t="shared" si="23"/>
        <v>0</v>
      </c>
      <c r="L51" s="852">
        <f t="shared" si="24"/>
        <v>0</v>
      </c>
      <c r="M51" s="852">
        <v>454</v>
      </c>
      <c r="N51" s="852"/>
      <c r="O51" s="852">
        <f t="shared" si="25"/>
        <v>454</v>
      </c>
    </row>
    <row r="52" spans="1:15" ht="17.25" thickTop="1" thickBot="1" x14ac:dyDescent="0.3">
      <c r="A52" s="620"/>
      <c r="B52" s="619" t="s">
        <v>736</v>
      </c>
      <c r="C52" s="619">
        <f>+C44+C48+C49+C51</f>
        <v>5102</v>
      </c>
      <c r="D52" s="619">
        <f t="shared" ref="D52:O52" si="26">+D44+D48+D49+D51</f>
        <v>0</v>
      </c>
      <c r="E52" s="619">
        <f t="shared" si="26"/>
        <v>0</v>
      </c>
      <c r="F52" s="619">
        <f t="shared" si="26"/>
        <v>3006</v>
      </c>
      <c r="G52" s="619">
        <f t="shared" si="26"/>
        <v>0</v>
      </c>
      <c r="H52" s="619">
        <f t="shared" si="26"/>
        <v>0</v>
      </c>
      <c r="I52" s="619">
        <f t="shared" si="26"/>
        <v>0</v>
      </c>
      <c r="J52" s="619">
        <f t="shared" si="26"/>
        <v>8108</v>
      </c>
      <c r="K52" s="619">
        <f t="shared" si="26"/>
        <v>0</v>
      </c>
      <c r="L52" s="619">
        <f t="shared" si="26"/>
        <v>8108</v>
      </c>
      <c r="M52" s="619">
        <f t="shared" si="26"/>
        <v>72408</v>
      </c>
      <c r="N52" s="619">
        <f t="shared" si="26"/>
        <v>72</v>
      </c>
      <c r="O52" s="619">
        <f t="shared" si="26"/>
        <v>80588</v>
      </c>
    </row>
    <row r="53" spans="1:15" ht="17.25" thickTop="1" thickBot="1" x14ac:dyDescent="0.3">
      <c r="A53" s="620"/>
      <c r="B53" s="619" t="s">
        <v>735</v>
      </c>
      <c r="C53" s="619">
        <f>+C45+C48+C49</f>
        <v>5102</v>
      </c>
      <c r="D53" s="619">
        <f t="shared" ref="D53:O53" si="27">+D45+D48+D49</f>
        <v>0</v>
      </c>
      <c r="E53" s="619">
        <f t="shared" si="27"/>
        <v>0</v>
      </c>
      <c r="F53" s="619">
        <f t="shared" si="27"/>
        <v>3006</v>
      </c>
      <c r="G53" s="619">
        <f t="shared" si="27"/>
        <v>0</v>
      </c>
      <c r="H53" s="619">
        <f t="shared" si="27"/>
        <v>0</v>
      </c>
      <c r="I53" s="619">
        <f t="shared" si="27"/>
        <v>0</v>
      </c>
      <c r="J53" s="619">
        <f t="shared" si="27"/>
        <v>8108</v>
      </c>
      <c r="K53" s="619">
        <f t="shared" si="27"/>
        <v>0</v>
      </c>
      <c r="L53" s="619">
        <f t="shared" si="27"/>
        <v>8108</v>
      </c>
      <c r="M53" s="619">
        <f t="shared" si="27"/>
        <v>71143</v>
      </c>
      <c r="N53" s="619">
        <f t="shared" si="27"/>
        <v>72</v>
      </c>
      <c r="O53" s="619">
        <f t="shared" si="27"/>
        <v>79323</v>
      </c>
    </row>
    <row r="54" spans="1:15" s="631" customFormat="1" ht="17.25" thickTop="1" thickBot="1" x14ac:dyDescent="0.3">
      <c r="A54" s="620"/>
      <c r="B54" s="619" t="s">
        <v>734</v>
      </c>
      <c r="C54" s="619">
        <f>+C46+C51</f>
        <v>0</v>
      </c>
      <c r="D54" s="619">
        <f t="shared" ref="D54:O54" si="28">+D46+D51</f>
        <v>0</v>
      </c>
      <c r="E54" s="619">
        <f t="shared" si="28"/>
        <v>0</v>
      </c>
      <c r="F54" s="619">
        <f t="shared" si="28"/>
        <v>0</v>
      </c>
      <c r="G54" s="619">
        <f t="shared" si="28"/>
        <v>0</v>
      </c>
      <c r="H54" s="619">
        <f t="shared" si="28"/>
        <v>0</v>
      </c>
      <c r="I54" s="619">
        <f t="shared" si="28"/>
        <v>0</v>
      </c>
      <c r="J54" s="619">
        <f t="shared" si="28"/>
        <v>0</v>
      </c>
      <c r="K54" s="619">
        <f t="shared" si="28"/>
        <v>0</v>
      </c>
      <c r="L54" s="619">
        <f t="shared" si="28"/>
        <v>0</v>
      </c>
      <c r="M54" s="619">
        <f t="shared" si="28"/>
        <v>1265</v>
      </c>
      <c r="N54" s="619">
        <f t="shared" si="28"/>
        <v>0</v>
      </c>
      <c r="O54" s="619">
        <f t="shared" si="28"/>
        <v>1265</v>
      </c>
    </row>
    <row r="55" spans="1:15" s="631" customFormat="1" ht="16.5" thickTop="1" x14ac:dyDescent="0.25">
      <c r="A55" s="626" t="s">
        <v>196</v>
      </c>
      <c r="B55" s="628" t="s">
        <v>770</v>
      </c>
      <c r="C55" s="628"/>
      <c r="D55" s="628"/>
      <c r="E55" s="628"/>
      <c r="F55" s="628"/>
      <c r="G55" s="628"/>
      <c r="H55" s="628"/>
      <c r="I55" s="628"/>
      <c r="J55" s="628"/>
      <c r="K55" s="628"/>
      <c r="L55" s="628"/>
      <c r="M55" s="628"/>
      <c r="N55" s="628"/>
      <c r="O55" s="628"/>
    </row>
    <row r="56" spans="1:15" s="631" customFormat="1" x14ac:dyDescent="0.25">
      <c r="A56" s="626"/>
      <c r="B56" s="624" t="s">
        <v>653</v>
      </c>
      <c r="C56" s="624">
        <v>4786</v>
      </c>
      <c r="D56" s="624"/>
      <c r="E56" s="624"/>
      <c r="F56" s="624">
        <v>2118</v>
      </c>
      <c r="G56" s="624"/>
      <c r="H56" s="624"/>
      <c r="I56" s="624"/>
      <c r="J56" s="624">
        <f>SUM(C56+E56+F56+H56)</f>
        <v>6904</v>
      </c>
      <c r="K56" s="624">
        <f>SUM(D56+G56+I56)</f>
        <v>0</v>
      </c>
      <c r="L56" s="624">
        <f>SUM(J56:K56)</f>
        <v>6904</v>
      </c>
      <c r="M56" s="624">
        <v>64594</v>
      </c>
      <c r="N56" s="624">
        <v>111</v>
      </c>
      <c r="O56" s="624">
        <f>SUM(L56:N56)</f>
        <v>71609</v>
      </c>
    </row>
    <row r="57" spans="1:15" s="631" customFormat="1" x14ac:dyDescent="0.25">
      <c r="A57" s="634"/>
      <c r="B57" s="625" t="s">
        <v>738</v>
      </c>
      <c r="C57" s="625">
        <v>4786</v>
      </c>
      <c r="D57" s="625"/>
      <c r="E57" s="625"/>
      <c r="F57" s="625">
        <v>2118</v>
      </c>
      <c r="G57" s="625"/>
      <c r="H57" s="625"/>
      <c r="I57" s="625"/>
      <c r="J57" s="632">
        <f>SUM(C57+E57+F57+H57)</f>
        <v>6904</v>
      </c>
      <c r="K57" s="632">
        <f>SUM(D57+G57+I57)</f>
        <v>0</v>
      </c>
      <c r="L57" s="632">
        <f>SUM(J57:K57)</f>
        <v>6904</v>
      </c>
      <c r="M57" s="632">
        <v>63767</v>
      </c>
      <c r="N57" s="632">
        <v>111</v>
      </c>
      <c r="O57" s="632">
        <f>SUM(L57:N57)</f>
        <v>70782</v>
      </c>
    </row>
    <row r="58" spans="1:15" s="631" customFormat="1" x14ac:dyDescent="0.25">
      <c r="A58" s="634"/>
      <c r="B58" s="625" t="s">
        <v>737</v>
      </c>
      <c r="C58" s="625"/>
      <c r="D58" s="625"/>
      <c r="E58" s="625"/>
      <c r="F58" s="625"/>
      <c r="G58" s="625"/>
      <c r="H58" s="625"/>
      <c r="I58" s="625"/>
      <c r="J58" s="632">
        <f>SUM(C58+E58+F58+H58)</f>
        <v>0</v>
      </c>
      <c r="K58" s="632">
        <f>SUM(D58+G58+I58)</f>
        <v>0</v>
      </c>
      <c r="L58" s="632">
        <f>SUM(J58:K58)</f>
        <v>0</v>
      </c>
      <c r="M58" s="632">
        <v>827</v>
      </c>
      <c r="N58" s="632"/>
      <c r="O58" s="632">
        <f>SUM(L58:N58)</f>
        <v>827</v>
      </c>
    </row>
    <row r="59" spans="1:15" s="631" customFormat="1" x14ac:dyDescent="0.25">
      <c r="A59" s="634"/>
      <c r="B59" s="625" t="s">
        <v>178</v>
      </c>
      <c r="C59" s="625"/>
      <c r="D59" s="625"/>
      <c r="E59" s="625"/>
      <c r="F59" s="625"/>
      <c r="G59" s="625"/>
      <c r="H59" s="625"/>
      <c r="I59" s="625"/>
      <c r="J59" s="632"/>
      <c r="K59" s="632"/>
      <c r="L59" s="632"/>
      <c r="M59" s="632"/>
      <c r="N59" s="632"/>
      <c r="O59" s="632"/>
    </row>
    <row r="60" spans="1:15" s="631" customFormat="1" x14ac:dyDescent="0.25">
      <c r="A60" s="634"/>
      <c r="B60" s="852" t="s">
        <v>1110</v>
      </c>
      <c r="C60" s="625"/>
      <c r="D60" s="625"/>
      <c r="E60" s="625"/>
      <c r="F60" s="625"/>
      <c r="G60" s="625"/>
      <c r="H60" s="625"/>
      <c r="I60" s="625"/>
      <c r="J60" s="852">
        <f t="shared" ref="J60:J63" si="29">SUM(C60+E60+F60+H60)</f>
        <v>0</v>
      </c>
      <c r="K60" s="852">
        <f t="shared" ref="K60:K63" si="30">SUM(D60+G60+I60)</f>
        <v>0</v>
      </c>
      <c r="L60" s="852">
        <f t="shared" ref="L60:L63" si="31">SUM(J60:K60)</f>
        <v>0</v>
      </c>
      <c r="M60" s="852">
        <v>197</v>
      </c>
      <c r="N60" s="852"/>
      <c r="O60" s="852">
        <f t="shared" ref="O60:O63" si="32">SUM(L60:N60)</f>
        <v>197</v>
      </c>
    </row>
    <row r="61" spans="1:15" s="631" customFormat="1" ht="31.5" x14ac:dyDescent="0.25">
      <c r="A61" s="634"/>
      <c r="B61" s="852" t="s">
        <v>1112</v>
      </c>
      <c r="C61" s="852"/>
      <c r="D61" s="625"/>
      <c r="E61" s="625"/>
      <c r="F61" s="625"/>
      <c r="G61" s="625"/>
      <c r="H61" s="625"/>
      <c r="I61" s="625"/>
      <c r="J61" s="852">
        <f t="shared" si="29"/>
        <v>0</v>
      </c>
      <c r="K61" s="852">
        <f t="shared" si="30"/>
        <v>0</v>
      </c>
      <c r="L61" s="852">
        <f t="shared" si="31"/>
        <v>0</v>
      </c>
      <c r="M61" s="852">
        <v>258</v>
      </c>
      <c r="N61" s="852"/>
      <c r="O61" s="852">
        <f t="shared" si="32"/>
        <v>258</v>
      </c>
    </row>
    <row r="62" spans="1:15" s="631" customFormat="1" x14ac:dyDescent="0.25">
      <c r="A62" s="634"/>
      <c r="B62" s="625" t="s">
        <v>179</v>
      </c>
      <c r="C62" s="625"/>
      <c r="D62" s="625"/>
      <c r="E62" s="625"/>
      <c r="F62" s="625"/>
      <c r="G62" s="625"/>
      <c r="H62" s="625"/>
      <c r="I62" s="625"/>
      <c r="J62" s="852"/>
      <c r="K62" s="852"/>
      <c r="L62" s="852"/>
      <c r="M62" s="852"/>
      <c r="N62" s="852"/>
      <c r="O62" s="852"/>
    </row>
    <row r="63" spans="1:15" s="631" customFormat="1" ht="16.5" thickBot="1" x14ac:dyDescent="0.3">
      <c r="A63" s="634"/>
      <c r="B63" s="637" t="s">
        <v>1111</v>
      </c>
      <c r="C63" s="625"/>
      <c r="D63" s="625"/>
      <c r="E63" s="625"/>
      <c r="F63" s="625"/>
      <c r="G63" s="625"/>
      <c r="H63" s="625"/>
      <c r="I63" s="625"/>
      <c r="J63" s="852">
        <f t="shared" si="29"/>
        <v>0</v>
      </c>
      <c r="K63" s="852">
        <f t="shared" si="30"/>
        <v>0</v>
      </c>
      <c r="L63" s="852">
        <f t="shared" si="31"/>
        <v>0</v>
      </c>
      <c r="M63" s="852">
        <v>465</v>
      </c>
      <c r="N63" s="852"/>
      <c r="O63" s="852">
        <f t="shared" si="32"/>
        <v>465</v>
      </c>
    </row>
    <row r="64" spans="1:15" s="631" customFormat="1" ht="17.25" thickTop="1" thickBot="1" x14ac:dyDescent="0.3">
      <c r="A64" s="620"/>
      <c r="B64" s="619" t="s">
        <v>736</v>
      </c>
      <c r="C64" s="619">
        <f>+C56+C60+C61+C63</f>
        <v>4786</v>
      </c>
      <c r="D64" s="619">
        <f t="shared" ref="D64:O64" si="33">+D56+D60+D61+D63</f>
        <v>0</v>
      </c>
      <c r="E64" s="619">
        <f t="shared" si="33"/>
        <v>0</v>
      </c>
      <c r="F64" s="619">
        <f t="shared" si="33"/>
        <v>2118</v>
      </c>
      <c r="G64" s="619">
        <f t="shared" si="33"/>
        <v>0</v>
      </c>
      <c r="H64" s="619">
        <f t="shared" si="33"/>
        <v>0</v>
      </c>
      <c r="I64" s="619">
        <f t="shared" si="33"/>
        <v>0</v>
      </c>
      <c r="J64" s="619">
        <f t="shared" si="33"/>
        <v>6904</v>
      </c>
      <c r="K64" s="619">
        <f t="shared" si="33"/>
        <v>0</v>
      </c>
      <c r="L64" s="619">
        <f t="shared" si="33"/>
        <v>6904</v>
      </c>
      <c r="M64" s="619">
        <f t="shared" si="33"/>
        <v>65514</v>
      </c>
      <c r="N64" s="619">
        <f t="shared" si="33"/>
        <v>111</v>
      </c>
      <c r="O64" s="619">
        <f t="shared" si="33"/>
        <v>72529</v>
      </c>
    </row>
    <row r="65" spans="1:15" s="631" customFormat="1" ht="17.25" thickTop="1" thickBot="1" x14ac:dyDescent="0.3">
      <c r="A65" s="620"/>
      <c r="B65" s="619" t="s">
        <v>735</v>
      </c>
      <c r="C65" s="619">
        <f>+C57+C60+C61</f>
        <v>4786</v>
      </c>
      <c r="D65" s="619">
        <f t="shared" ref="D65:O65" si="34">+D57+D60+D61</f>
        <v>0</v>
      </c>
      <c r="E65" s="619">
        <f t="shared" si="34"/>
        <v>0</v>
      </c>
      <c r="F65" s="619">
        <f t="shared" si="34"/>
        <v>2118</v>
      </c>
      <c r="G65" s="619">
        <f t="shared" si="34"/>
        <v>0</v>
      </c>
      <c r="H65" s="619">
        <f t="shared" si="34"/>
        <v>0</v>
      </c>
      <c r="I65" s="619">
        <f t="shared" si="34"/>
        <v>0</v>
      </c>
      <c r="J65" s="619">
        <f t="shared" si="34"/>
        <v>6904</v>
      </c>
      <c r="K65" s="619">
        <f t="shared" si="34"/>
        <v>0</v>
      </c>
      <c r="L65" s="619">
        <f t="shared" si="34"/>
        <v>6904</v>
      </c>
      <c r="M65" s="619">
        <f t="shared" si="34"/>
        <v>64222</v>
      </c>
      <c r="N65" s="619">
        <f t="shared" si="34"/>
        <v>111</v>
      </c>
      <c r="O65" s="619">
        <f t="shared" si="34"/>
        <v>71237</v>
      </c>
    </row>
    <row r="66" spans="1:15" s="631" customFormat="1" ht="17.25" thickTop="1" thickBot="1" x14ac:dyDescent="0.3">
      <c r="A66" s="620"/>
      <c r="B66" s="619" t="s">
        <v>734</v>
      </c>
      <c r="C66" s="619">
        <f>+C58+C63</f>
        <v>0</v>
      </c>
      <c r="D66" s="619">
        <f t="shared" ref="D66:O66" si="35">+D58+D63</f>
        <v>0</v>
      </c>
      <c r="E66" s="619">
        <f t="shared" si="35"/>
        <v>0</v>
      </c>
      <c r="F66" s="619">
        <f t="shared" si="35"/>
        <v>0</v>
      </c>
      <c r="G66" s="619">
        <f t="shared" si="35"/>
        <v>0</v>
      </c>
      <c r="H66" s="619">
        <f t="shared" si="35"/>
        <v>0</v>
      </c>
      <c r="I66" s="619">
        <f t="shared" si="35"/>
        <v>0</v>
      </c>
      <c r="J66" s="619">
        <f t="shared" si="35"/>
        <v>0</v>
      </c>
      <c r="K66" s="619">
        <f t="shared" si="35"/>
        <v>0</v>
      </c>
      <c r="L66" s="619">
        <f t="shared" si="35"/>
        <v>0</v>
      </c>
      <c r="M66" s="619">
        <f t="shared" si="35"/>
        <v>1292</v>
      </c>
      <c r="N66" s="619">
        <f t="shared" si="35"/>
        <v>0</v>
      </c>
      <c r="O66" s="619">
        <f t="shared" si="35"/>
        <v>1292</v>
      </c>
    </row>
    <row r="67" spans="1:15" ht="16.5" thickTop="1" x14ac:dyDescent="0.25">
      <c r="A67" s="626" t="s">
        <v>197</v>
      </c>
      <c r="B67" s="628" t="s">
        <v>769</v>
      </c>
      <c r="C67" s="628"/>
      <c r="D67" s="628"/>
      <c r="E67" s="628"/>
      <c r="F67" s="628"/>
      <c r="G67" s="628"/>
      <c r="H67" s="628"/>
      <c r="I67" s="628"/>
      <c r="J67" s="628"/>
      <c r="K67" s="628"/>
      <c r="L67" s="628"/>
      <c r="M67" s="628"/>
      <c r="N67" s="628"/>
      <c r="O67" s="628"/>
    </row>
    <row r="68" spans="1:15" x14ac:dyDescent="0.25">
      <c r="A68" s="626"/>
      <c r="B68" s="624" t="s">
        <v>653</v>
      </c>
      <c r="C68" s="624">
        <v>2928</v>
      </c>
      <c r="D68" s="624"/>
      <c r="E68" s="624"/>
      <c r="F68" s="624">
        <v>99</v>
      </c>
      <c r="G68" s="624"/>
      <c r="H68" s="624"/>
      <c r="I68" s="624"/>
      <c r="J68" s="624">
        <f>SUM(C68+E68+F68+H68)</f>
        <v>3027</v>
      </c>
      <c r="K68" s="624">
        <f>SUM(D68+G68+I68)</f>
        <v>0</v>
      </c>
      <c r="L68" s="624">
        <f>SUM(J68:K68)</f>
        <v>3027</v>
      </c>
      <c r="M68" s="624">
        <v>37471</v>
      </c>
      <c r="N68" s="624">
        <v>268</v>
      </c>
      <c r="O68" s="624">
        <f>SUM(L68:N68)</f>
        <v>40766</v>
      </c>
    </row>
    <row r="69" spans="1:15" x14ac:dyDescent="0.25">
      <c r="A69" s="634"/>
      <c r="B69" s="625" t="s">
        <v>738</v>
      </c>
      <c r="C69" s="625">
        <v>2928</v>
      </c>
      <c r="D69" s="625"/>
      <c r="E69" s="625"/>
      <c r="F69" s="625">
        <v>99</v>
      </c>
      <c r="G69" s="625"/>
      <c r="H69" s="625"/>
      <c r="I69" s="625"/>
      <c r="J69" s="632">
        <f>SUM(C69+E69+F69+H69)</f>
        <v>3027</v>
      </c>
      <c r="K69" s="632">
        <f>SUM(D69+G69+I69)</f>
        <v>0</v>
      </c>
      <c r="L69" s="632">
        <f>SUM(J69:K69)</f>
        <v>3027</v>
      </c>
      <c r="M69" s="632">
        <v>36963</v>
      </c>
      <c r="N69" s="632">
        <v>268</v>
      </c>
      <c r="O69" s="632">
        <f>SUM(L69:N69)</f>
        <v>40258</v>
      </c>
    </row>
    <row r="70" spans="1:15" x14ac:dyDescent="0.25">
      <c r="A70" s="626"/>
      <c r="B70" s="625" t="s">
        <v>737</v>
      </c>
      <c r="C70" s="624"/>
      <c r="D70" s="624"/>
      <c r="E70" s="624"/>
      <c r="F70" s="624"/>
      <c r="G70" s="624"/>
      <c r="H70" s="624"/>
      <c r="I70" s="624"/>
      <c r="J70" s="624">
        <f>SUM(C70+E70+F70+H70)</f>
        <v>0</v>
      </c>
      <c r="K70" s="624">
        <f>SUM(D70+G70+I70)</f>
        <v>0</v>
      </c>
      <c r="L70" s="624">
        <f>SUM(J70:K70)</f>
        <v>0</v>
      </c>
      <c r="M70" s="624">
        <v>508</v>
      </c>
      <c r="N70" s="624"/>
      <c r="O70" s="624">
        <f>SUM(L70:N70)</f>
        <v>508</v>
      </c>
    </row>
    <row r="71" spans="1:15" x14ac:dyDescent="0.25">
      <c r="A71" s="634"/>
      <c r="B71" s="625" t="s">
        <v>178</v>
      </c>
      <c r="C71" s="625"/>
      <c r="D71" s="625"/>
      <c r="E71" s="625"/>
      <c r="F71" s="625"/>
      <c r="G71" s="625"/>
      <c r="H71" s="625"/>
      <c r="I71" s="625"/>
      <c r="J71" s="632"/>
      <c r="K71" s="632"/>
      <c r="L71" s="632"/>
      <c r="M71" s="632"/>
      <c r="N71" s="632"/>
      <c r="O71" s="632"/>
    </row>
    <row r="72" spans="1:15" s="631" customFormat="1" x14ac:dyDescent="0.25">
      <c r="A72" s="626"/>
      <c r="B72" s="624" t="s">
        <v>1110</v>
      </c>
      <c r="C72" s="624"/>
      <c r="D72" s="624"/>
      <c r="E72" s="624"/>
      <c r="F72" s="624"/>
      <c r="G72" s="624"/>
      <c r="H72" s="624"/>
      <c r="I72" s="624"/>
      <c r="J72" s="852">
        <f t="shared" ref="J72:J75" si="36">SUM(C72+E72+F72+H72)</f>
        <v>0</v>
      </c>
      <c r="K72" s="852">
        <f t="shared" ref="K72:K75" si="37">SUM(D72+G72+I72)</f>
        <v>0</v>
      </c>
      <c r="L72" s="852">
        <f t="shared" ref="L72:L75" si="38">SUM(J72:K72)</f>
        <v>0</v>
      </c>
      <c r="M72" s="852">
        <v>77</v>
      </c>
      <c r="N72" s="852"/>
      <c r="O72" s="852">
        <f t="shared" ref="O72:O75" si="39">SUM(L72:N72)</f>
        <v>77</v>
      </c>
    </row>
    <row r="73" spans="1:15" s="631" customFormat="1" ht="31.5" x14ac:dyDescent="0.25">
      <c r="A73" s="634"/>
      <c r="B73" s="852" t="s">
        <v>1112</v>
      </c>
      <c r="C73" s="852"/>
      <c r="D73" s="625"/>
      <c r="E73" s="625"/>
      <c r="F73" s="625"/>
      <c r="G73" s="625"/>
      <c r="H73" s="625"/>
      <c r="I73" s="625"/>
      <c r="J73" s="852">
        <f t="shared" si="36"/>
        <v>0</v>
      </c>
      <c r="K73" s="852">
        <f t="shared" si="37"/>
        <v>0</v>
      </c>
      <c r="L73" s="852">
        <f t="shared" si="38"/>
        <v>0</v>
      </c>
      <c r="M73" s="852">
        <v>168</v>
      </c>
      <c r="N73" s="852"/>
      <c r="O73" s="852">
        <f t="shared" si="39"/>
        <v>168</v>
      </c>
    </row>
    <row r="74" spans="1:15" s="631" customFormat="1" x14ac:dyDescent="0.25">
      <c r="A74" s="634"/>
      <c r="B74" s="625" t="s">
        <v>179</v>
      </c>
      <c r="C74" s="625"/>
      <c r="D74" s="625"/>
      <c r="E74" s="625"/>
      <c r="F74" s="625"/>
      <c r="G74" s="625"/>
      <c r="H74" s="625"/>
      <c r="I74" s="625"/>
      <c r="J74" s="852"/>
      <c r="K74" s="852"/>
      <c r="L74" s="852"/>
      <c r="M74" s="852"/>
      <c r="N74" s="852"/>
      <c r="O74" s="852"/>
    </row>
    <row r="75" spans="1:15" s="631" customFormat="1" ht="16.5" thickBot="1" x14ac:dyDescent="0.3">
      <c r="A75" s="626"/>
      <c r="B75" s="637" t="s">
        <v>1111</v>
      </c>
      <c r="C75" s="624"/>
      <c r="D75" s="624"/>
      <c r="E75" s="624"/>
      <c r="F75" s="624"/>
      <c r="G75" s="624"/>
      <c r="H75" s="624"/>
      <c r="I75" s="624"/>
      <c r="J75" s="852">
        <f t="shared" si="36"/>
        <v>0</v>
      </c>
      <c r="K75" s="852">
        <f t="shared" si="37"/>
        <v>0</v>
      </c>
      <c r="L75" s="852">
        <f t="shared" si="38"/>
        <v>0</v>
      </c>
      <c r="M75" s="852">
        <v>252</v>
      </c>
      <c r="N75" s="852"/>
      <c r="O75" s="852">
        <f t="shared" si="39"/>
        <v>252</v>
      </c>
    </row>
    <row r="76" spans="1:15" s="631" customFormat="1" ht="17.25" thickTop="1" thickBot="1" x14ac:dyDescent="0.3">
      <c r="A76" s="620"/>
      <c r="B76" s="619" t="s">
        <v>736</v>
      </c>
      <c r="C76" s="619">
        <f>+C68+C72+C73+C75</f>
        <v>2928</v>
      </c>
      <c r="D76" s="619">
        <f t="shared" ref="D76:O76" si="40">+D68+D72+D73+D75</f>
        <v>0</v>
      </c>
      <c r="E76" s="619">
        <f t="shared" si="40"/>
        <v>0</v>
      </c>
      <c r="F76" s="619">
        <f t="shared" si="40"/>
        <v>99</v>
      </c>
      <c r="G76" s="619">
        <f t="shared" si="40"/>
        <v>0</v>
      </c>
      <c r="H76" s="619">
        <f t="shared" si="40"/>
        <v>0</v>
      </c>
      <c r="I76" s="619">
        <f t="shared" si="40"/>
        <v>0</v>
      </c>
      <c r="J76" s="619">
        <f t="shared" si="40"/>
        <v>3027</v>
      </c>
      <c r="K76" s="619">
        <f t="shared" si="40"/>
        <v>0</v>
      </c>
      <c r="L76" s="619">
        <f t="shared" si="40"/>
        <v>3027</v>
      </c>
      <c r="M76" s="619">
        <f t="shared" si="40"/>
        <v>37968</v>
      </c>
      <c r="N76" s="619">
        <f t="shared" si="40"/>
        <v>268</v>
      </c>
      <c r="O76" s="619">
        <f t="shared" si="40"/>
        <v>41263</v>
      </c>
    </row>
    <row r="77" spans="1:15" s="631" customFormat="1" ht="17.25" thickTop="1" thickBot="1" x14ac:dyDescent="0.3">
      <c r="A77" s="620"/>
      <c r="B77" s="619" t="s">
        <v>735</v>
      </c>
      <c r="C77" s="619">
        <f>+C69+C72+C73</f>
        <v>2928</v>
      </c>
      <c r="D77" s="619">
        <f t="shared" ref="D77:O77" si="41">+D69+D72+D73</f>
        <v>0</v>
      </c>
      <c r="E77" s="619">
        <f t="shared" si="41"/>
        <v>0</v>
      </c>
      <c r="F77" s="619">
        <f t="shared" si="41"/>
        <v>99</v>
      </c>
      <c r="G77" s="619">
        <f t="shared" si="41"/>
        <v>0</v>
      </c>
      <c r="H77" s="619">
        <f t="shared" si="41"/>
        <v>0</v>
      </c>
      <c r="I77" s="619">
        <f t="shared" si="41"/>
        <v>0</v>
      </c>
      <c r="J77" s="619">
        <f t="shared" si="41"/>
        <v>3027</v>
      </c>
      <c r="K77" s="619">
        <f t="shared" si="41"/>
        <v>0</v>
      </c>
      <c r="L77" s="619">
        <f t="shared" si="41"/>
        <v>3027</v>
      </c>
      <c r="M77" s="619">
        <f t="shared" si="41"/>
        <v>37208</v>
      </c>
      <c r="N77" s="619">
        <f t="shared" si="41"/>
        <v>268</v>
      </c>
      <c r="O77" s="619">
        <f t="shared" si="41"/>
        <v>40503</v>
      </c>
    </row>
    <row r="78" spans="1:15" s="631" customFormat="1" ht="17.25" thickTop="1" thickBot="1" x14ac:dyDescent="0.3">
      <c r="A78" s="620"/>
      <c r="B78" s="619" t="s">
        <v>734</v>
      </c>
      <c r="C78" s="619">
        <f>+C70+C75</f>
        <v>0</v>
      </c>
      <c r="D78" s="619">
        <f t="shared" ref="D78:O78" si="42">+D70+D75</f>
        <v>0</v>
      </c>
      <c r="E78" s="619">
        <f t="shared" si="42"/>
        <v>0</v>
      </c>
      <c r="F78" s="619">
        <f t="shared" si="42"/>
        <v>0</v>
      </c>
      <c r="G78" s="619">
        <f t="shared" si="42"/>
        <v>0</v>
      </c>
      <c r="H78" s="619">
        <f t="shared" si="42"/>
        <v>0</v>
      </c>
      <c r="I78" s="619">
        <f t="shared" si="42"/>
        <v>0</v>
      </c>
      <c r="J78" s="619">
        <f t="shared" si="42"/>
        <v>0</v>
      </c>
      <c r="K78" s="619">
        <f t="shared" si="42"/>
        <v>0</v>
      </c>
      <c r="L78" s="619">
        <f t="shared" si="42"/>
        <v>0</v>
      </c>
      <c r="M78" s="619">
        <f t="shared" si="42"/>
        <v>760</v>
      </c>
      <c r="N78" s="619">
        <f t="shared" si="42"/>
        <v>0</v>
      </c>
      <c r="O78" s="619">
        <f t="shared" si="42"/>
        <v>760</v>
      </c>
    </row>
    <row r="79" spans="1:15" s="631" customFormat="1" ht="16.5" thickTop="1" x14ac:dyDescent="0.25">
      <c r="A79" s="626" t="s">
        <v>198</v>
      </c>
      <c r="B79" s="628" t="s">
        <v>768</v>
      </c>
      <c r="C79" s="628"/>
      <c r="D79" s="628"/>
      <c r="E79" s="628"/>
      <c r="F79" s="628"/>
      <c r="G79" s="628"/>
      <c r="H79" s="628"/>
      <c r="I79" s="628"/>
      <c r="J79" s="628"/>
      <c r="K79" s="628"/>
      <c r="L79" s="628"/>
      <c r="M79" s="628"/>
      <c r="N79" s="628"/>
      <c r="O79" s="628"/>
    </row>
    <row r="80" spans="1:15" s="631" customFormat="1" x14ac:dyDescent="0.25">
      <c r="A80" s="626"/>
      <c r="B80" s="624" t="s">
        <v>653</v>
      </c>
      <c r="C80" s="624">
        <v>5344</v>
      </c>
      <c r="D80" s="624"/>
      <c r="E80" s="624"/>
      <c r="F80" s="624">
        <v>1394</v>
      </c>
      <c r="G80" s="624"/>
      <c r="H80" s="624"/>
      <c r="I80" s="624"/>
      <c r="J80" s="624">
        <f>SUM(C80+E80+F80+H80)</f>
        <v>6738</v>
      </c>
      <c r="K80" s="624">
        <f>SUM(D80+G80+I80)</f>
        <v>0</v>
      </c>
      <c r="L80" s="624">
        <f>SUM(J80:K80)</f>
        <v>6738</v>
      </c>
      <c r="M80" s="624">
        <v>87476</v>
      </c>
      <c r="N80" s="624">
        <v>576</v>
      </c>
      <c r="O80" s="624">
        <f>SUM(L80:N80)</f>
        <v>94790</v>
      </c>
    </row>
    <row r="81" spans="1:15" s="631" customFormat="1" x14ac:dyDescent="0.25">
      <c r="A81" s="634"/>
      <c r="B81" s="625" t="s">
        <v>738</v>
      </c>
      <c r="C81" s="625">
        <v>5344</v>
      </c>
      <c r="D81" s="625"/>
      <c r="E81" s="625"/>
      <c r="F81" s="625">
        <v>1394</v>
      </c>
      <c r="G81" s="625"/>
      <c r="H81" s="625"/>
      <c r="I81" s="625"/>
      <c r="J81" s="632">
        <f>SUM(C81+E81+F81+H81)</f>
        <v>6738</v>
      </c>
      <c r="K81" s="632">
        <f>SUM(D81+G81+I81)</f>
        <v>0</v>
      </c>
      <c r="L81" s="632">
        <f>SUM(J81:K81)</f>
        <v>6738</v>
      </c>
      <c r="M81" s="632">
        <v>86523</v>
      </c>
      <c r="N81" s="632">
        <v>576</v>
      </c>
      <c r="O81" s="632">
        <f>SUM(L81:N81)</f>
        <v>93837</v>
      </c>
    </row>
    <row r="82" spans="1:15" s="631" customFormat="1" x14ac:dyDescent="0.25">
      <c r="A82" s="626"/>
      <c r="B82" s="625" t="s">
        <v>737</v>
      </c>
      <c r="C82" s="624"/>
      <c r="D82" s="624"/>
      <c r="E82" s="624"/>
      <c r="F82" s="624"/>
      <c r="G82" s="624"/>
      <c r="H82" s="624"/>
      <c r="I82" s="624"/>
      <c r="J82" s="624">
        <f>SUM(C82+E82+F82+H82)</f>
        <v>0</v>
      </c>
      <c r="K82" s="624">
        <f>SUM(D82+G82+I82)</f>
        <v>0</v>
      </c>
      <c r="L82" s="624">
        <f>SUM(J82:K82)</f>
        <v>0</v>
      </c>
      <c r="M82" s="624">
        <v>953</v>
      </c>
      <c r="N82" s="624"/>
      <c r="O82" s="624">
        <f>SUM(L82:N82)</f>
        <v>953</v>
      </c>
    </row>
    <row r="83" spans="1:15" s="631" customFormat="1" x14ac:dyDescent="0.25">
      <c r="A83" s="634"/>
      <c r="B83" s="625" t="s">
        <v>178</v>
      </c>
      <c r="C83" s="625"/>
      <c r="D83" s="625"/>
      <c r="E83" s="625"/>
      <c r="F83" s="625"/>
      <c r="G83" s="625"/>
      <c r="H83" s="625"/>
      <c r="I83" s="625"/>
      <c r="J83" s="624"/>
      <c r="K83" s="624"/>
      <c r="L83" s="624"/>
      <c r="M83" s="632"/>
      <c r="N83" s="632"/>
      <c r="O83" s="624"/>
    </row>
    <row r="84" spans="1:15" s="631" customFormat="1" x14ac:dyDescent="0.25">
      <c r="A84" s="626"/>
      <c r="B84" s="624" t="s">
        <v>1110</v>
      </c>
      <c r="C84" s="624"/>
      <c r="D84" s="624"/>
      <c r="E84" s="624"/>
      <c r="F84" s="624"/>
      <c r="G84" s="624"/>
      <c r="H84" s="624"/>
      <c r="I84" s="624"/>
      <c r="J84" s="624">
        <f t="shared" ref="J84:J87" si="43">SUM(C84+E84+F84+H84)</f>
        <v>0</v>
      </c>
      <c r="K84" s="624">
        <f t="shared" ref="K84:K87" si="44">SUM(D84+G84+I84)</f>
        <v>0</v>
      </c>
      <c r="L84" s="624">
        <f t="shared" ref="L84:L87" si="45">SUM(J84:K84)</f>
        <v>0</v>
      </c>
      <c r="M84" s="624">
        <v>474</v>
      </c>
      <c r="N84" s="624"/>
      <c r="O84" s="624">
        <f t="shared" ref="O84:O87" si="46">SUM(L84:N84)</f>
        <v>474</v>
      </c>
    </row>
    <row r="85" spans="1:15" ht="31.5" x14ac:dyDescent="0.25">
      <c r="A85" s="633"/>
      <c r="B85" s="853" t="s">
        <v>1112</v>
      </c>
      <c r="C85" s="853"/>
      <c r="D85" s="629"/>
      <c r="E85" s="629"/>
      <c r="F85" s="629"/>
      <c r="G85" s="629"/>
      <c r="H85" s="629"/>
      <c r="I85" s="629"/>
      <c r="J85" s="628">
        <f t="shared" si="43"/>
        <v>0</v>
      </c>
      <c r="K85" s="628">
        <f t="shared" si="44"/>
        <v>0</v>
      </c>
      <c r="L85" s="628">
        <f t="shared" si="45"/>
        <v>0</v>
      </c>
      <c r="M85" s="645">
        <v>400</v>
      </c>
      <c r="N85" s="645"/>
      <c r="O85" s="628">
        <f t="shared" si="46"/>
        <v>400</v>
      </c>
    </row>
    <row r="86" spans="1:15" x14ac:dyDescent="0.25">
      <c r="A86" s="633"/>
      <c r="B86" s="629" t="s">
        <v>179</v>
      </c>
      <c r="C86" s="629"/>
      <c r="D86" s="629"/>
      <c r="E86" s="629"/>
      <c r="F86" s="629"/>
      <c r="G86" s="629"/>
      <c r="H86" s="629"/>
      <c r="I86" s="629"/>
      <c r="J86" s="628"/>
      <c r="K86" s="628"/>
      <c r="L86" s="628"/>
      <c r="M86" s="645"/>
      <c r="N86" s="645"/>
      <c r="O86" s="628"/>
    </row>
    <row r="87" spans="1:15" ht="16.5" thickBot="1" x14ac:dyDescent="0.3">
      <c r="A87" s="626"/>
      <c r="B87" s="637" t="s">
        <v>1111</v>
      </c>
      <c r="C87" s="624"/>
      <c r="D87" s="624"/>
      <c r="E87" s="624"/>
      <c r="F87" s="624"/>
      <c r="G87" s="624"/>
      <c r="H87" s="624"/>
      <c r="I87" s="624"/>
      <c r="J87" s="624">
        <f t="shared" si="43"/>
        <v>0</v>
      </c>
      <c r="K87" s="624">
        <f t="shared" si="44"/>
        <v>0</v>
      </c>
      <c r="L87" s="624">
        <f t="shared" si="45"/>
        <v>0</v>
      </c>
      <c r="M87" s="624">
        <v>555</v>
      </c>
      <c r="N87" s="624"/>
      <c r="O87" s="624">
        <f t="shared" si="46"/>
        <v>555</v>
      </c>
    </row>
    <row r="88" spans="1:15" ht="17.25" thickTop="1" thickBot="1" x14ac:dyDescent="0.3">
      <c r="A88" s="620"/>
      <c r="B88" s="619" t="s">
        <v>736</v>
      </c>
      <c r="C88" s="619">
        <f>+C80+C84+C85+C87</f>
        <v>5344</v>
      </c>
      <c r="D88" s="619">
        <f t="shared" ref="D88:O88" si="47">+D80+D84+D85+D87</f>
        <v>0</v>
      </c>
      <c r="E88" s="619">
        <f t="shared" si="47"/>
        <v>0</v>
      </c>
      <c r="F88" s="619">
        <f t="shared" si="47"/>
        <v>1394</v>
      </c>
      <c r="G88" s="619">
        <f t="shared" si="47"/>
        <v>0</v>
      </c>
      <c r="H88" s="619">
        <f t="shared" si="47"/>
        <v>0</v>
      </c>
      <c r="I88" s="619">
        <f t="shared" si="47"/>
        <v>0</v>
      </c>
      <c r="J88" s="619">
        <f t="shared" si="47"/>
        <v>6738</v>
      </c>
      <c r="K88" s="619">
        <f t="shared" si="47"/>
        <v>0</v>
      </c>
      <c r="L88" s="619">
        <f t="shared" si="47"/>
        <v>6738</v>
      </c>
      <c r="M88" s="619">
        <f t="shared" si="47"/>
        <v>88905</v>
      </c>
      <c r="N88" s="619">
        <f t="shared" si="47"/>
        <v>576</v>
      </c>
      <c r="O88" s="619">
        <f t="shared" si="47"/>
        <v>96219</v>
      </c>
    </row>
    <row r="89" spans="1:15" ht="17.25" thickTop="1" thickBot="1" x14ac:dyDescent="0.3">
      <c r="A89" s="620"/>
      <c r="B89" s="619" t="s">
        <v>735</v>
      </c>
      <c r="C89" s="619">
        <f>+C81+C84+C85</f>
        <v>5344</v>
      </c>
      <c r="D89" s="619">
        <f t="shared" ref="D89:O89" si="48">+D81+D84+D85</f>
        <v>0</v>
      </c>
      <c r="E89" s="619">
        <f t="shared" si="48"/>
        <v>0</v>
      </c>
      <c r="F89" s="619">
        <f t="shared" si="48"/>
        <v>1394</v>
      </c>
      <c r="G89" s="619">
        <f t="shared" si="48"/>
        <v>0</v>
      </c>
      <c r="H89" s="619">
        <f t="shared" si="48"/>
        <v>0</v>
      </c>
      <c r="I89" s="619">
        <f t="shared" si="48"/>
        <v>0</v>
      </c>
      <c r="J89" s="619">
        <f t="shared" si="48"/>
        <v>6738</v>
      </c>
      <c r="K89" s="619">
        <f t="shared" si="48"/>
        <v>0</v>
      </c>
      <c r="L89" s="619">
        <f t="shared" si="48"/>
        <v>6738</v>
      </c>
      <c r="M89" s="619">
        <f t="shared" si="48"/>
        <v>87397</v>
      </c>
      <c r="N89" s="619">
        <f t="shared" si="48"/>
        <v>576</v>
      </c>
      <c r="O89" s="619">
        <f t="shared" si="48"/>
        <v>94711</v>
      </c>
    </row>
    <row r="90" spans="1:15" s="631" customFormat="1" ht="17.25" thickTop="1" thickBot="1" x14ac:dyDescent="0.3">
      <c r="A90" s="620"/>
      <c r="B90" s="619" t="s">
        <v>734</v>
      </c>
      <c r="C90" s="619">
        <f>+C82+C87</f>
        <v>0</v>
      </c>
      <c r="D90" s="619">
        <f t="shared" ref="D90:O90" si="49">+D82+D87</f>
        <v>0</v>
      </c>
      <c r="E90" s="619">
        <f t="shared" si="49"/>
        <v>0</v>
      </c>
      <c r="F90" s="619">
        <f t="shared" si="49"/>
        <v>0</v>
      </c>
      <c r="G90" s="619">
        <f t="shared" si="49"/>
        <v>0</v>
      </c>
      <c r="H90" s="619">
        <f t="shared" si="49"/>
        <v>0</v>
      </c>
      <c r="I90" s="619">
        <f t="shared" si="49"/>
        <v>0</v>
      </c>
      <c r="J90" s="619">
        <f t="shared" si="49"/>
        <v>0</v>
      </c>
      <c r="K90" s="619">
        <f t="shared" si="49"/>
        <v>0</v>
      </c>
      <c r="L90" s="619">
        <f t="shared" si="49"/>
        <v>0</v>
      </c>
      <c r="M90" s="619">
        <f t="shared" si="49"/>
        <v>1508</v>
      </c>
      <c r="N90" s="619">
        <f t="shared" si="49"/>
        <v>0</v>
      </c>
      <c r="O90" s="619">
        <f t="shared" si="49"/>
        <v>1508</v>
      </c>
    </row>
    <row r="91" spans="1:15" ht="16.5" thickTop="1" x14ac:dyDescent="0.25">
      <c r="A91" s="626" t="s">
        <v>199</v>
      </c>
      <c r="B91" s="628" t="s">
        <v>767</v>
      </c>
      <c r="C91" s="628"/>
      <c r="D91" s="628"/>
      <c r="E91" s="628"/>
      <c r="F91" s="628"/>
      <c r="G91" s="628"/>
      <c r="H91" s="628"/>
      <c r="I91" s="628"/>
      <c r="J91" s="628"/>
      <c r="K91" s="628"/>
      <c r="L91" s="628"/>
      <c r="M91" s="628"/>
      <c r="N91" s="628"/>
      <c r="O91" s="628"/>
    </row>
    <row r="92" spans="1:15" s="631" customFormat="1" x14ac:dyDescent="0.25">
      <c r="A92" s="626"/>
      <c r="B92" s="624" t="s">
        <v>653</v>
      </c>
      <c r="C92" s="624">
        <v>7717</v>
      </c>
      <c r="D92" s="624"/>
      <c r="E92" s="624"/>
      <c r="F92" s="624">
        <v>1634</v>
      </c>
      <c r="G92" s="624"/>
      <c r="H92" s="624"/>
      <c r="I92" s="624"/>
      <c r="J92" s="624">
        <f>SUM(C92+E92+F92+H92)</f>
        <v>9351</v>
      </c>
      <c r="K92" s="624">
        <f>SUM(D92+G92+I92)</f>
        <v>0</v>
      </c>
      <c r="L92" s="624">
        <f>SUM(J92:K92)</f>
        <v>9351</v>
      </c>
      <c r="M92" s="624">
        <v>74875</v>
      </c>
      <c r="N92" s="624">
        <v>303</v>
      </c>
      <c r="O92" s="624">
        <f>SUM(L92:N92)</f>
        <v>84529</v>
      </c>
    </row>
    <row r="93" spans="1:15" x14ac:dyDescent="0.25">
      <c r="A93" s="633"/>
      <c r="B93" s="629" t="s">
        <v>738</v>
      </c>
      <c r="C93" s="629">
        <v>7717</v>
      </c>
      <c r="D93" s="629"/>
      <c r="E93" s="629"/>
      <c r="F93" s="629">
        <v>1634</v>
      </c>
      <c r="G93" s="629"/>
      <c r="H93" s="629"/>
      <c r="I93" s="629"/>
      <c r="J93" s="645">
        <f>SUM(C93+E93+F93+H93)</f>
        <v>9351</v>
      </c>
      <c r="K93" s="645">
        <f>SUM(D93+G93+I93)</f>
        <v>0</v>
      </c>
      <c r="L93" s="645">
        <f>SUM(J93:K93)</f>
        <v>9351</v>
      </c>
      <c r="M93" s="645">
        <v>73950</v>
      </c>
      <c r="N93" s="645">
        <v>303</v>
      </c>
      <c r="O93" s="645">
        <f>SUM(L93:N93)</f>
        <v>83604</v>
      </c>
    </row>
    <row r="94" spans="1:15" s="631" customFormat="1" x14ac:dyDescent="0.25">
      <c r="A94" s="633"/>
      <c r="B94" s="629" t="s">
        <v>737</v>
      </c>
      <c r="C94" s="629"/>
      <c r="D94" s="629"/>
      <c r="E94" s="629"/>
      <c r="F94" s="629"/>
      <c r="G94" s="629"/>
      <c r="H94" s="629"/>
      <c r="I94" s="629"/>
      <c r="J94" s="645">
        <f>SUM(C94+E94+F94+H94)</f>
        <v>0</v>
      </c>
      <c r="K94" s="645">
        <f>SUM(D94+G94+I94)</f>
        <v>0</v>
      </c>
      <c r="L94" s="645">
        <f>SUM(J94:K94)</f>
        <v>0</v>
      </c>
      <c r="M94" s="645">
        <v>925</v>
      </c>
      <c r="N94" s="645"/>
      <c r="O94" s="645">
        <f>SUM(L94:N94)</f>
        <v>925</v>
      </c>
    </row>
    <row r="95" spans="1:15" x14ac:dyDescent="0.25">
      <c r="A95" s="633"/>
      <c r="B95" s="629" t="s">
        <v>178</v>
      </c>
      <c r="C95" s="629"/>
      <c r="D95" s="629"/>
      <c r="E95" s="629"/>
      <c r="F95" s="629"/>
      <c r="G95" s="629"/>
      <c r="H95" s="629"/>
      <c r="I95" s="629"/>
      <c r="J95" s="645"/>
      <c r="K95" s="645"/>
      <c r="L95" s="645"/>
      <c r="M95" s="645"/>
      <c r="N95" s="645"/>
      <c r="O95" s="645"/>
    </row>
    <row r="96" spans="1:15" x14ac:dyDescent="0.25">
      <c r="A96" s="633"/>
      <c r="B96" s="853" t="s">
        <v>1110</v>
      </c>
      <c r="C96" s="629"/>
      <c r="D96" s="629"/>
      <c r="E96" s="629"/>
      <c r="F96" s="629"/>
      <c r="G96" s="629"/>
      <c r="H96" s="629"/>
      <c r="I96" s="629"/>
      <c r="J96" s="853">
        <f t="shared" ref="J96:J99" si="50">SUM(C96+E96+F96+H96)</f>
        <v>0</v>
      </c>
      <c r="K96" s="853">
        <f t="shared" ref="K96:K99" si="51">SUM(D96+G96+I96)</f>
        <v>0</v>
      </c>
      <c r="L96" s="853">
        <f t="shared" ref="L96:L99" si="52">SUM(J96:K96)</f>
        <v>0</v>
      </c>
      <c r="M96" s="853">
        <v>239</v>
      </c>
      <c r="N96" s="853"/>
      <c r="O96" s="853">
        <f t="shared" ref="O96:O99" si="53">SUM(L96:N96)</f>
        <v>239</v>
      </c>
    </row>
    <row r="97" spans="1:15" ht="31.5" x14ac:dyDescent="0.25">
      <c r="A97" s="633"/>
      <c r="B97" s="852" t="s">
        <v>1112</v>
      </c>
      <c r="C97" s="853"/>
      <c r="D97" s="629"/>
      <c r="E97" s="629"/>
      <c r="F97" s="629"/>
      <c r="G97" s="629"/>
      <c r="H97" s="629"/>
      <c r="I97" s="629"/>
      <c r="J97" s="853">
        <f t="shared" si="50"/>
        <v>0</v>
      </c>
      <c r="K97" s="853">
        <f t="shared" si="51"/>
        <v>0</v>
      </c>
      <c r="L97" s="853">
        <f t="shared" si="52"/>
        <v>0</v>
      </c>
      <c r="M97" s="853">
        <v>302</v>
      </c>
      <c r="N97" s="853"/>
      <c r="O97" s="853">
        <f t="shared" si="53"/>
        <v>302</v>
      </c>
    </row>
    <row r="98" spans="1:15" s="631" customFormat="1" x14ac:dyDescent="0.25">
      <c r="A98" s="633"/>
      <c r="B98" s="629" t="s">
        <v>179</v>
      </c>
      <c r="C98" s="629"/>
      <c r="D98" s="629"/>
      <c r="E98" s="629"/>
      <c r="F98" s="629"/>
      <c r="G98" s="629"/>
      <c r="H98" s="629"/>
      <c r="I98" s="629"/>
      <c r="J98" s="853"/>
      <c r="K98" s="853"/>
      <c r="L98" s="853"/>
      <c r="M98" s="853"/>
      <c r="N98" s="853"/>
      <c r="O98" s="853"/>
    </row>
    <row r="99" spans="1:15" ht="16.5" thickBot="1" x14ac:dyDescent="0.3">
      <c r="A99" s="633"/>
      <c r="B99" s="637" t="s">
        <v>1111</v>
      </c>
      <c r="C99" s="629"/>
      <c r="D99" s="629"/>
      <c r="E99" s="629"/>
      <c r="F99" s="629"/>
      <c r="G99" s="629"/>
      <c r="H99" s="629"/>
      <c r="I99" s="629"/>
      <c r="J99" s="853">
        <f t="shared" si="50"/>
        <v>0</v>
      </c>
      <c r="K99" s="853">
        <f t="shared" si="51"/>
        <v>0</v>
      </c>
      <c r="L99" s="853">
        <f t="shared" si="52"/>
        <v>0</v>
      </c>
      <c r="M99" s="853">
        <v>530</v>
      </c>
      <c r="N99" s="853"/>
      <c r="O99" s="853">
        <f t="shared" si="53"/>
        <v>530</v>
      </c>
    </row>
    <row r="100" spans="1:15" s="631" customFormat="1" ht="17.25" thickTop="1" thickBot="1" x14ac:dyDescent="0.3">
      <c r="A100" s="620"/>
      <c r="B100" s="619" t="s">
        <v>736</v>
      </c>
      <c r="C100" s="619">
        <f>+C92+C96+C97+C99</f>
        <v>7717</v>
      </c>
      <c r="D100" s="619">
        <f t="shared" ref="D100:O100" si="54">+D92+D96+D97+D99</f>
        <v>0</v>
      </c>
      <c r="E100" s="619">
        <f t="shared" si="54"/>
        <v>0</v>
      </c>
      <c r="F100" s="619">
        <f t="shared" si="54"/>
        <v>1634</v>
      </c>
      <c r="G100" s="619">
        <f t="shared" si="54"/>
        <v>0</v>
      </c>
      <c r="H100" s="619">
        <f t="shared" si="54"/>
        <v>0</v>
      </c>
      <c r="I100" s="619">
        <f t="shared" si="54"/>
        <v>0</v>
      </c>
      <c r="J100" s="619">
        <f t="shared" si="54"/>
        <v>9351</v>
      </c>
      <c r="K100" s="619">
        <f t="shared" si="54"/>
        <v>0</v>
      </c>
      <c r="L100" s="619">
        <f t="shared" si="54"/>
        <v>9351</v>
      </c>
      <c r="M100" s="619">
        <f t="shared" si="54"/>
        <v>75946</v>
      </c>
      <c r="N100" s="619">
        <f t="shared" si="54"/>
        <v>303</v>
      </c>
      <c r="O100" s="619">
        <f t="shared" si="54"/>
        <v>85600</v>
      </c>
    </row>
    <row r="101" spans="1:15" ht="17.25" thickTop="1" thickBot="1" x14ac:dyDescent="0.3">
      <c r="A101" s="620"/>
      <c r="B101" s="619" t="s">
        <v>735</v>
      </c>
      <c r="C101" s="619">
        <f>+C93+C96+C97</f>
        <v>7717</v>
      </c>
      <c r="D101" s="619">
        <f t="shared" ref="D101:O101" si="55">+D93+D96+D97</f>
        <v>0</v>
      </c>
      <c r="E101" s="619">
        <f t="shared" si="55"/>
        <v>0</v>
      </c>
      <c r="F101" s="619">
        <f t="shared" si="55"/>
        <v>1634</v>
      </c>
      <c r="G101" s="619">
        <f t="shared" si="55"/>
        <v>0</v>
      </c>
      <c r="H101" s="619">
        <f t="shared" si="55"/>
        <v>0</v>
      </c>
      <c r="I101" s="619">
        <f t="shared" si="55"/>
        <v>0</v>
      </c>
      <c r="J101" s="619">
        <f t="shared" si="55"/>
        <v>9351</v>
      </c>
      <c r="K101" s="619">
        <f t="shared" si="55"/>
        <v>0</v>
      </c>
      <c r="L101" s="619">
        <f t="shared" si="55"/>
        <v>9351</v>
      </c>
      <c r="M101" s="619">
        <f t="shared" si="55"/>
        <v>74491</v>
      </c>
      <c r="N101" s="619">
        <f t="shared" si="55"/>
        <v>303</v>
      </c>
      <c r="O101" s="619">
        <f t="shared" si="55"/>
        <v>84145</v>
      </c>
    </row>
    <row r="102" spans="1:15" ht="17.25" thickTop="1" thickBot="1" x14ac:dyDescent="0.3">
      <c r="A102" s="620"/>
      <c r="B102" s="619" t="s">
        <v>734</v>
      </c>
      <c r="C102" s="619">
        <f>+C94+C99</f>
        <v>0</v>
      </c>
      <c r="D102" s="619">
        <f t="shared" ref="D102:O102" si="56">+D94+D99</f>
        <v>0</v>
      </c>
      <c r="E102" s="619">
        <f t="shared" si="56"/>
        <v>0</v>
      </c>
      <c r="F102" s="619">
        <f t="shared" si="56"/>
        <v>0</v>
      </c>
      <c r="G102" s="619">
        <f t="shared" si="56"/>
        <v>0</v>
      </c>
      <c r="H102" s="619">
        <f t="shared" si="56"/>
        <v>0</v>
      </c>
      <c r="I102" s="619">
        <f t="shared" si="56"/>
        <v>0</v>
      </c>
      <c r="J102" s="619">
        <f t="shared" si="56"/>
        <v>0</v>
      </c>
      <c r="K102" s="619">
        <f t="shared" si="56"/>
        <v>0</v>
      </c>
      <c r="L102" s="619">
        <f t="shared" si="56"/>
        <v>0</v>
      </c>
      <c r="M102" s="619">
        <f t="shared" si="56"/>
        <v>1455</v>
      </c>
      <c r="N102" s="619">
        <f t="shared" si="56"/>
        <v>0</v>
      </c>
      <c r="O102" s="619">
        <f t="shared" si="56"/>
        <v>1455</v>
      </c>
    </row>
    <row r="103" spans="1:15" ht="17.25" thickTop="1" thickBot="1" x14ac:dyDescent="0.3">
      <c r="A103" s="620"/>
      <c r="B103" s="619" t="s">
        <v>766</v>
      </c>
      <c r="C103" s="619">
        <f t="shared" ref="C103:O103" si="57">SUM(C40+C52+C64+C76+C88+C100)</f>
        <v>30833</v>
      </c>
      <c r="D103" s="619">
        <f t="shared" si="57"/>
        <v>0</v>
      </c>
      <c r="E103" s="619">
        <f t="shared" si="57"/>
        <v>0</v>
      </c>
      <c r="F103" s="619">
        <f t="shared" si="57"/>
        <v>9736</v>
      </c>
      <c r="G103" s="619">
        <f t="shared" si="57"/>
        <v>0</v>
      </c>
      <c r="H103" s="619">
        <f t="shared" si="57"/>
        <v>0</v>
      </c>
      <c r="I103" s="619">
        <f t="shared" si="57"/>
        <v>0</v>
      </c>
      <c r="J103" s="619">
        <f t="shared" si="57"/>
        <v>40569</v>
      </c>
      <c r="K103" s="619">
        <f t="shared" si="57"/>
        <v>0</v>
      </c>
      <c r="L103" s="619">
        <f t="shared" si="57"/>
        <v>40569</v>
      </c>
      <c r="M103" s="619">
        <f t="shared" si="57"/>
        <v>408324</v>
      </c>
      <c r="N103" s="619">
        <f t="shared" si="57"/>
        <v>1722</v>
      </c>
      <c r="O103" s="619">
        <f t="shared" si="57"/>
        <v>450615</v>
      </c>
    </row>
    <row r="104" spans="1:15" ht="16.5" thickTop="1" x14ac:dyDescent="0.25">
      <c r="A104" s="626" t="s">
        <v>200</v>
      </c>
      <c r="B104" s="628" t="s">
        <v>765</v>
      </c>
      <c r="C104" s="628"/>
      <c r="D104" s="628"/>
      <c r="E104" s="628"/>
      <c r="F104" s="628"/>
      <c r="G104" s="628"/>
      <c r="H104" s="628"/>
      <c r="I104" s="628"/>
      <c r="J104" s="628"/>
      <c r="K104" s="628"/>
      <c r="L104" s="628"/>
      <c r="M104" s="628"/>
      <c r="N104" s="628"/>
      <c r="O104" s="628"/>
    </row>
    <row r="105" spans="1:15" x14ac:dyDescent="0.25">
      <c r="A105" s="626"/>
      <c r="B105" s="624" t="s">
        <v>653</v>
      </c>
      <c r="C105" s="624">
        <v>13630</v>
      </c>
      <c r="D105" s="624"/>
      <c r="E105" s="624"/>
      <c r="F105" s="624">
        <v>8837</v>
      </c>
      <c r="G105" s="624"/>
      <c r="H105" s="624"/>
      <c r="I105" s="624"/>
      <c r="J105" s="624">
        <f>SUM(C105+E105+F105+H105)</f>
        <v>22467</v>
      </c>
      <c r="K105" s="624">
        <f>SUM(D105+G105+I105)</f>
        <v>0</v>
      </c>
      <c r="L105" s="624">
        <f>SUM(J105:K105)</f>
        <v>22467</v>
      </c>
      <c r="M105" s="624">
        <v>222204</v>
      </c>
      <c r="N105" s="624">
        <v>827</v>
      </c>
      <c r="O105" s="624">
        <f>SUM(L105:N105)</f>
        <v>245498</v>
      </c>
    </row>
    <row r="106" spans="1:15" x14ac:dyDescent="0.25">
      <c r="A106" s="634"/>
      <c r="B106" s="625" t="s">
        <v>738</v>
      </c>
      <c r="C106" s="625">
        <v>13630</v>
      </c>
      <c r="D106" s="625"/>
      <c r="E106" s="625"/>
      <c r="F106" s="625">
        <v>8837</v>
      </c>
      <c r="G106" s="625"/>
      <c r="H106" s="625"/>
      <c r="I106" s="625"/>
      <c r="J106" s="632">
        <f>SUM(C106+E106+F106+H106)</f>
        <v>22467</v>
      </c>
      <c r="K106" s="632">
        <f>SUM(D106+G106+I106)</f>
        <v>0</v>
      </c>
      <c r="L106" s="632">
        <f>SUM(J106:K106)</f>
        <v>22467</v>
      </c>
      <c r="M106" s="632">
        <v>220618</v>
      </c>
      <c r="N106" s="632">
        <v>827</v>
      </c>
      <c r="O106" s="632">
        <f>SUM(L106:N106)</f>
        <v>243912</v>
      </c>
    </row>
    <row r="107" spans="1:15" s="631" customFormat="1" x14ac:dyDescent="0.25">
      <c r="A107" s="633"/>
      <c r="B107" s="625" t="s">
        <v>737</v>
      </c>
      <c r="C107" s="625"/>
      <c r="D107" s="625"/>
      <c r="E107" s="625"/>
      <c r="F107" s="625"/>
      <c r="G107" s="625"/>
      <c r="H107" s="625"/>
      <c r="I107" s="625"/>
      <c r="J107" s="852">
        <f>SUM(C107+E107+F107+H107)</f>
        <v>0</v>
      </c>
      <c r="K107" s="852">
        <f>SUM(D107+G107+I107)</f>
        <v>0</v>
      </c>
      <c r="L107" s="852">
        <f>SUM(J107:K107)</f>
        <v>0</v>
      </c>
      <c r="M107" s="852">
        <v>1586</v>
      </c>
      <c r="N107" s="852"/>
      <c r="O107" s="852">
        <f>SUM(L107:N107)</f>
        <v>1586</v>
      </c>
    </row>
    <row r="108" spans="1:15" x14ac:dyDescent="0.25">
      <c r="A108" s="634"/>
      <c r="B108" s="625" t="s">
        <v>178</v>
      </c>
      <c r="C108" s="625"/>
      <c r="D108" s="625"/>
      <c r="E108" s="625"/>
      <c r="F108" s="625"/>
      <c r="G108" s="625"/>
      <c r="H108" s="625"/>
      <c r="I108" s="625"/>
      <c r="J108" s="852"/>
      <c r="K108" s="852"/>
      <c r="L108" s="852"/>
      <c r="M108" s="852"/>
      <c r="N108" s="852"/>
      <c r="O108" s="852"/>
    </row>
    <row r="109" spans="1:15" s="631" customFormat="1" x14ac:dyDescent="0.25">
      <c r="A109" s="633"/>
      <c r="B109" s="852" t="s">
        <v>1110</v>
      </c>
      <c r="C109" s="625"/>
      <c r="D109" s="625"/>
      <c r="E109" s="625"/>
      <c r="F109" s="625"/>
      <c r="G109" s="625"/>
      <c r="H109" s="625"/>
      <c r="I109" s="625"/>
      <c r="J109" s="852">
        <f t="shared" ref="J109:J111" si="58">SUM(C109+E109+F109+H109)</f>
        <v>0</v>
      </c>
      <c r="K109" s="852">
        <f t="shared" ref="K109:K111" si="59">SUM(D109+G109+I109)</f>
        <v>0</v>
      </c>
      <c r="L109" s="852">
        <f t="shared" ref="L109:L111" si="60">SUM(J109:K109)</f>
        <v>0</v>
      </c>
      <c r="M109" s="852">
        <v>101</v>
      </c>
      <c r="N109" s="852"/>
      <c r="O109" s="852">
        <f t="shared" ref="O109:O111" si="61">SUM(L109:N109)</f>
        <v>101</v>
      </c>
    </row>
    <row r="110" spans="1:15" x14ac:dyDescent="0.25">
      <c r="A110" s="634"/>
      <c r="B110" s="625" t="s">
        <v>179</v>
      </c>
      <c r="C110" s="625"/>
      <c r="D110" s="625"/>
      <c r="E110" s="625"/>
      <c r="F110" s="625"/>
      <c r="G110" s="625"/>
      <c r="H110" s="625"/>
      <c r="I110" s="625"/>
      <c r="J110" s="852"/>
      <c r="K110" s="852"/>
      <c r="L110" s="852"/>
      <c r="M110" s="852"/>
      <c r="N110" s="852"/>
      <c r="O110" s="852"/>
    </row>
    <row r="111" spans="1:15" s="631" customFormat="1" ht="16.5" thickBot="1" x14ac:dyDescent="0.3">
      <c r="A111" s="633"/>
      <c r="B111" s="637" t="s">
        <v>1111</v>
      </c>
      <c r="C111" s="625"/>
      <c r="D111" s="625"/>
      <c r="E111" s="625"/>
      <c r="F111" s="625"/>
      <c r="G111" s="625"/>
      <c r="H111" s="625"/>
      <c r="I111" s="625"/>
      <c r="J111" s="852">
        <f t="shared" si="58"/>
        <v>0</v>
      </c>
      <c r="K111" s="852">
        <f t="shared" si="59"/>
        <v>0</v>
      </c>
      <c r="L111" s="852">
        <f t="shared" si="60"/>
        <v>0</v>
      </c>
      <c r="M111" s="852">
        <v>961</v>
      </c>
      <c r="N111" s="852"/>
      <c r="O111" s="852">
        <f t="shared" si="61"/>
        <v>961</v>
      </c>
    </row>
    <row r="112" spans="1:15" ht="17.25" thickTop="1" thickBot="1" x14ac:dyDescent="0.3">
      <c r="A112" s="620"/>
      <c r="B112" s="619" t="s">
        <v>736</v>
      </c>
      <c r="C112" s="619">
        <f>+C105+C109+C111</f>
        <v>13630</v>
      </c>
      <c r="D112" s="619">
        <f t="shared" ref="D112:O112" si="62">+D105+D109+D111</f>
        <v>0</v>
      </c>
      <c r="E112" s="619">
        <f t="shared" si="62"/>
        <v>0</v>
      </c>
      <c r="F112" s="619">
        <f t="shared" si="62"/>
        <v>8837</v>
      </c>
      <c r="G112" s="619">
        <f t="shared" si="62"/>
        <v>0</v>
      </c>
      <c r="H112" s="619">
        <f t="shared" si="62"/>
        <v>0</v>
      </c>
      <c r="I112" s="619">
        <f t="shared" si="62"/>
        <v>0</v>
      </c>
      <c r="J112" s="619">
        <f t="shared" si="62"/>
        <v>22467</v>
      </c>
      <c r="K112" s="619">
        <f t="shared" si="62"/>
        <v>0</v>
      </c>
      <c r="L112" s="619">
        <f t="shared" si="62"/>
        <v>22467</v>
      </c>
      <c r="M112" s="619">
        <f t="shared" si="62"/>
        <v>223266</v>
      </c>
      <c r="N112" s="619">
        <f t="shared" si="62"/>
        <v>827</v>
      </c>
      <c r="O112" s="619">
        <f t="shared" si="62"/>
        <v>246560</v>
      </c>
    </row>
    <row r="113" spans="1:15" ht="17.25" thickTop="1" thickBot="1" x14ac:dyDescent="0.3">
      <c r="A113" s="620"/>
      <c r="B113" s="619" t="s">
        <v>735</v>
      </c>
      <c r="C113" s="619">
        <f>+C106+C109</f>
        <v>13630</v>
      </c>
      <c r="D113" s="619">
        <f t="shared" ref="D113:O113" si="63">+D106+D109</f>
        <v>0</v>
      </c>
      <c r="E113" s="619">
        <f t="shared" si="63"/>
        <v>0</v>
      </c>
      <c r="F113" s="619">
        <f t="shared" si="63"/>
        <v>8837</v>
      </c>
      <c r="G113" s="619">
        <f t="shared" si="63"/>
        <v>0</v>
      </c>
      <c r="H113" s="619">
        <f t="shared" si="63"/>
        <v>0</v>
      </c>
      <c r="I113" s="619">
        <f t="shared" si="63"/>
        <v>0</v>
      </c>
      <c r="J113" s="619">
        <f t="shared" si="63"/>
        <v>22467</v>
      </c>
      <c r="K113" s="619">
        <f t="shared" si="63"/>
        <v>0</v>
      </c>
      <c r="L113" s="619">
        <f t="shared" si="63"/>
        <v>22467</v>
      </c>
      <c r="M113" s="619">
        <f t="shared" si="63"/>
        <v>220719</v>
      </c>
      <c r="N113" s="619">
        <f t="shared" si="63"/>
        <v>827</v>
      </c>
      <c r="O113" s="619">
        <f t="shared" si="63"/>
        <v>244013</v>
      </c>
    </row>
    <row r="114" spans="1:15" ht="17.25" thickTop="1" thickBot="1" x14ac:dyDescent="0.3">
      <c r="A114" s="626"/>
      <c r="B114" s="619" t="s">
        <v>734</v>
      </c>
      <c r="C114" s="619">
        <f>+C107+C111</f>
        <v>0</v>
      </c>
      <c r="D114" s="619">
        <f t="shared" ref="D114:O114" si="64">+D107+D111</f>
        <v>0</v>
      </c>
      <c r="E114" s="619">
        <f t="shared" si="64"/>
        <v>0</v>
      </c>
      <c r="F114" s="619">
        <f t="shared" si="64"/>
        <v>0</v>
      </c>
      <c r="G114" s="619">
        <f t="shared" si="64"/>
        <v>0</v>
      </c>
      <c r="H114" s="619">
        <f t="shared" si="64"/>
        <v>0</v>
      </c>
      <c r="I114" s="619">
        <f t="shared" si="64"/>
        <v>0</v>
      </c>
      <c r="J114" s="619">
        <f t="shared" si="64"/>
        <v>0</v>
      </c>
      <c r="K114" s="619">
        <f t="shared" si="64"/>
        <v>0</v>
      </c>
      <c r="L114" s="619">
        <f t="shared" si="64"/>
        <v>0</v>
      </c>
      <c r="M114" s="619">
        <f t="shared" si="64"/>
        <v>2547</v>
      </c>
      <c r="N114" s="619">
        <f t="shared" si="64"/>
        <v>0</v>
      </c>
      <c r="O114" s="619">
        <f t="shared" si="64"/>
        <v>2547</v>
      </c>
    </row>
    <row r="115" spans="1:15" ht="16.5" thickTop="1" x14ac:dyDescent="0.25">
      <c r="A115" s="626" t="s">
        <v>0</v>
      </c>
      <c r="B115" s="628" t="s">
        <v>764</v>
      </c>
      <c r="C115" s="628"/>
      <c r="D115" s="628"/>
      <c r="E115" s="628"/>
      <c r="F115" s="628"/>
      <c r="G115" s="628"/>
      <c r="H115" s="628"/>
      <c r="I115" s="628"/>
      <c r="J115" s="628"/>
      <c r="K115" s="628"/>
      <c r="L115" s="628"/>
      <c r="M115" s="628"/>
      <c r="N115" s="628"/>
      <c r="O115" s="628"/>
    </row>
    <row r="116" spans="1:15" s="631" customFormat="1" x14ac:dyDescent="0.25">
      <c r="A116" s="626"/>
      <c r="B116" s="624" t="s">
        <v>653</v>
      </c>
      <c r="C116" s="624">
        <v>14161</v>
      </c>
      <c r="D116" s="624"/>
      <c r="E116" s="624"/>
      <c r="F116" s="624">
        <v>8393</v>
      </c>
      <c r="G116" s="624"/>
      <c r="H116" s="624"/>
      <c r="I116" s="624"/>
      <c r="J116" s="624">
        <f>SUM(C116+E116+F116+H116)</f>
        <v>22554</v>
      </c>
      <c r="K116" s="624">
        <f>SUM(D116+G116+I116)</f>
        <v>0</v>
      </c>
      <c r="L116" s="624">
        <f>SUM(J116:K116)</f>
        <v>22554</v>
      </c>
      <c r="M116" s="624">
        <v>220259</v>
      </c>
      <c r="N116" s="624">
        <v>251</v>
      </c>
      <c r="O116" s="624">
        <f>SUM(L116:N116)</f>
        <v>243064</v>
      </c>
    </row>
    <row r="117" spans="1:15" x14ac:dyDescent="0.25">
      <c r="A117" s="634"/>
      <c r="B117" s="625" t="s">
        <v>738</v>
      </c>
      <c r="C117" s="625">
        <v>14161</v>
      </c>
      <c r="D117" s="625"/>
      <c r="E117" s="625"/>
      <c r="F117" s="625">
        <v>8393</v>
      </c>
      <c r="G117" s="625"/>
      <c r="H117" s="625"/>
      <c r="I117" s="625"/>
      <c r="J117" s="632">
        <f>SUM(C117+E117+F117+H117)</f>
        <v>22554</v>
      </c>
      <c r="K117" s="632">
        <f>SUM(D117+G117+I117)</f>
        <v>0</v>
      </c>
      <c r="L117" s="632">
        <f>SUM(J117:K117)</f>
        <v>22554</v>
      </c>
      <c r="M117" s="632">
        <v>218724</v>
      </c>
      <c r="N117" s="632">
        <v>251</v>
      </c>
      <c r="O117" s="632">
        <f>SUM(L117:N117)</f>
        <v>241529</v>
      </c>
    </row>
    <row r="118" spans="1:15" s="631" customFormat="1" x14ac:dyDescent="0.25">
      <c r="A118" s="634"/>
      <c r="B118" s="625" t="s">
        <v>737</v>
      </c>
      <c r="C118" s="625"/>
      <c r="D118" s="625"/>
      <c r="E118" s="625"/>
      <c r="F118" s="625"/>
      <c r="G118" s="625"/>
      <c r="H118" s="625"/>
      <c r="I118" s="625"/>
      <c r="J118" s="632">
        <f>SUM(C118+E118+F118+H118)</f>
        <v>0</v>
      </c>
      <c r="K118" s="632">
        <f>SUM(D118+G118+I118)</f>
        <v>0</v>
      </c>
      <c r="L118" s="632">
        <f>SUM(J118:K118)</f>
        <v>0</v>
      </c>
      <c r="M118" s="632">
        <v>1535</v>
      </c>
      <c r="N118" s="632"/>
      <c r="O118" s="632">
        <f>SUM(L118:N118)</f>
        <v>1535</v>
      </c>
    </row>
    <row r="119" spans="1:15" x14ac:dyDescent="0.25">
      <c r="A119" s="634"/>
      <c r="B119" s="625" t="s">
        <v>178</v>
      </c>
      <c r="C119" s="625"/>
      <c r="D119" s="625"/>
      <c r="E119" s="625"/>
      <c r="F119" s="625"/>
      <c r="G119" s="625"/>
      <c r="H119" s="625"/>
      <c r="I119" s="625"/>
      <c r="J119" s="632"/>
      <c r="K119" s="632"/>
      <c r="L119" s="632"/>
      <c r="M119" s="632"/>
      <c r="N119" s="632"/>
      <c r="O119" s="632"/>
    </row>
    <row r="120" spans="1:15" x14ac:dyDescent="0.25">
      <c r="A120" s="634"/>
      <c r="B120" s="852" t="s">
        <v>1110</v>
      </c>
      <c r="C120" s="625"/>
      <c r="D120" s="625"/>
      <c r="E120" s="625"/>
      <c r="F120" s="625"/>
      <c r="G120" s="625"/>
      <c r="H120" s="625"/>
      <c r="I120" s="625"/>
      <c r="J120" s="852">
        <f t="shared" ref="J120:J122" si="65">SUM(C120+E120+F120+H120)</f>
        <v>0</v>
      </c>
      <c r="K120" s="852">
        <f t="shared" ref="K120:K122" si="66">SUM(D120+G120+I120)</f>
        <v>0</v>
      </c>
      <c r="L120" s="852">
        <f t="shared" ref="L120:L122" si="67">SUM(J120:K120)</f>
        <v>0</v>
      </c>
      <c r="M120" s="852">
        <v>158</v>
      </c>
      <c r="N120" s="852"/>
      <c r="O120" s="852">
        <f t="shared" ref="O120:O122" si="68">SUM(L120:N120)</f>
        <v>158</v>
      </c>
    </row>
    <row r="121" spans="1:15" x14ac:dyDescent="0.25">
      <c r="A121" s="634"/>
      <c r="B121" s="625" t="s">
        <v>179</v>
      </c>
      <c r="C121" s="625"/>
      <c r="D121" s="625"/>
      <c r="E121" s="625"/>
      <c r="F121" s="625"/>
      <c r="G121" s="625"/>
      <c r="H121" s="625"/>
      <c r="I121" s="625"/>
      <c r="J121" s="852"/>
      <c r="K121" s="852"/>
      <c r="L121" s="852"/>
      <c r="M121" s="852"/>
      <c r="N121" s="852"/>
      <c r="O121" s="852"/>
    </row>
    <row r="122" spans="1:15" ht="16.5" thickBot="1" x14ac:dyDescent="0.3">
      <c r="A122" s="634"/>
      <c r="B122" s="637" t="s">
        <v>1111</v>
      </c>
      <c r="C122" s="625"/>
      <c r="D122" s="625"/>
      <c r="E122" s="625"/>
      <c r="F122" s="625"/>
      <c r="G122" s="625"/>
      <c r="H122" s="625"/>
      <c r="I122" s="625"/>
      <c r="J122" s="852">
        <f t="shared" si="65"/>
        <v>0</v>
      </c>
      <c r="K122" s="852">
        <f t="shared" si="66"/>
        <v>0</v>
      </c>
      <c r="L122" s="852">
        <f t="shared" si="67"/>
        <v>0</v>
      </c>
      <c r="M122" s="852">
        <v>1000</v>
      </c>
      <c r="N122" s="852"/>
      <c r="O122" s="852">
        <f t="shared" si="68"/>
        <v>1000</v>
      </c>
    </row>
    <row r="123" spans="1:15" ht="17.25" thickTop="1" thickBot="1" x14ac:dyDescent="0.3">
      <c r="A123" s="620"/>
      <c r="B123" s="619" t="s">
        <v>736</v>
      </c>
      <c r="C123" s="619">
        <f>+C116+C120+C122</f>
        <v>14161</v>
      </c>
      <c r="D123" s="619">
        <f t="shared" ref="D123:O123" si="69">+D116+D120+D122</f>
        <v>0</v>
      </c>
      <c r="E123" s="619">
        <f t="shared" si="69"/>
        <v>0</v>
      </c>
      <c r="F123" s="619">
        <f t="shared" si="69"/>
        <v>8393</v>
      </c>
      <c r="G123" s="619">
        <f t="shared" si="69"/>
        <v>0</v>
      </c>
      <c r="H123" s="619">
        <f t="shared" si="69"/>
        <v>0</v>
      </c>
      <c r="I123" s="619">
        <f t="shared" si="69"/>
        <v>0</v>
      </c>
      <c r="J123" s="619">
        <f t="shared" si="69"/>
        <v>22554</v>
      </c>
      <c r="K123" s="619">
        <f t="shared" si="69"/>
        <v>0</v>
      </c>
      <c r="L123" s="619">
        <f t="shared" si="69"/>
        <v>22554</v>
      </c>
      <c r="M123" s="619">
        <f t="shared" si="69"/>
        <v>221417</v>
      </c>
      <c r="N123" s="619">
        <f t="shared" si="69"/>
        <v>251</v>
      </c>
      <c r="O123" s="619">
        <f t="shared" si="69"/>
        <v>244222</v>
      </c>
    </row>
    <row r="124" spans="1:15" ht="17.25" thickTop="1" thickBot="1" x14ac:dyDescent="0.3">
      <c r="A124" s="620"/>
      <c r="B124" s="619" t="s">
        <v>735</v>
      </c>
      <c r="C124" s="619">
        <f>+C117+C120</f>
        <v>14161</v>
      </c>
      <c r="D124" s="619">
        <f t="shared" ref="D124:O124" si="70">+D117+D120</f>
        <v>0</v>
      </c>
      <c r="E124" s="619">
        <f t="shared" si="70"/>
        <v>0</v>
      </c>
      <c r="F124" s="619">
        <f t="shared" si="70"/>
        <v>8393</v>
      </c>
      <c r="G124" s="619">
        <f t="shared" si="70"/>
        <v>0</v>
      </c>
      <c r="H124" s="619">
        <f t="shared" si="70"/>
        <v>0</v>
      </c>
      <c r="I124" s="619">
        <f t="shared" si="70"/>
        <v>0</v>
      </c>
      <c r="J124" s="619">
        <f t="shared" si="70"/>
        <v>22554</v>
      </c>
      <c r="K124" s="619">
        <f t="shared" si="70"/>
        <v>0</v>
      </c>
      <c r="L124" s="619">
        <f t="shared" si="70"/>
        <v>22554</v>
      </c>
      <c r="M124" s="619">
        <f t="shared" si="70"/>
        <v>218882</v>
      </c>
      <c r="N124" s="619">
        <f t="shared" si="70"/>
        <v>251</v>
      </c>
      <c r="O124" s="619">
        <f t="shared" si="70"/>
        <v>241687</v>
      </c>
    </row>
    <row r="125" spans="1:15" s="631" customFormat="1" ht="17.25" thickTop="1" thickBot="1" x14ac:dyDescent="0.3">
      <c r="A125" s="620"/>
      <c r="B125" s="619" t="s">
        <v>734</v>
      </c>
      <c r="C125" s="619">
        <f>+C118+C122</f>
        <v>0</v>
      </c>
      <c r="D125" s="619">
        <f t="shared" ref="D125:O125" si="71">+D118+D122</f>
        <v>0</v>
      </c>
      <c r="E125" s="619">
        <f t="shared" si="71"/>
        <v>0</v>
      </c>
      <c r="F125" s="619">
        <f t="shared" si="71"/>
        <v>0</v>
      </c>
      <c r="G125" s="619">
        <f t="shared" si="71"/>
        <v>0</v>
      </c>
      <c r="H125" s="619">
        <f t="shared" si="71"/>
        <v>0</v>
      </c>
      <c r="I125" s="619">
        <f t="shared" si="71"/>
        <v>0</v>
      </c>
      <c r="J125" s="619">
        <f t="shared" si="71"/>
        <v>0</v>
      </c>
      <c r="K125" s="619">
        <f t="shared" si="71"/>
        <v>0</v>
      </c>
      <c r="L125" s="619">
        <f t="shared" si="71"/>
        <v>0</v>
      </c>
      <c r="M125" s="619">
        <f t="shared" si="71"/>
        <v>2535</v>
      </c>
      <c r="N125" s="619">
        <f t="shared" si="71"/>
        <v>0</v>
      </c>
      <c r="O125" s="619">
        <f t="shared" si="71"/>
        <v>2535</v>
      </c>
    </row>
    <row r="126" spans="1:15" s="631" customFormat="1" ht="32.25" thickTop="1" x14ac:dyDescent="0.25">
      <c r="A126" s="626" t="s">
        <v>1</v>
      </c>
      <c r="B126" s="628" t="s">
        <v>695</v>
      </c>
      <c r="C126" s="628"/>
      <c r="D126" s="628"/>
      <c r="E126" s="628"/>
      <c r="F126" s="628"/>
      <c r="G126" s="628"/>
      <c r="H126" s="628"/>
      <c r="I126" s="628"/>
      <c r="J126" s="628"/>
      <c r="K126" s="628"/>
      <c r="L126" s="628"/>
      <c r="M126" s="628"/>
      <c r="N126" s="628"/>
      <c r="O126" s="628"/>
    </row>
    <row r="127" spans="1:15" s="631" customFormat="1" x14ac:dyDescent="0.25">
      <c r="A127" s="630"/>
      <c r="B127" s="628" t="s">
        <v>653</v>
      </c>
      <c r="C127" s="628">
        <v>10030</v>
      </c>
      <c r="D127" s="628"/>
      <c r="E127" s="628"/>
      <c r="F127" s="628">
        <v>14053</v>
      </c>
      <c r="G127" s="628"/>
      <c r="H127" s="628"/>
      <c r="I127" s="628"/>
      <c r="J127" s="628">
        <f>SUM(C127+E127+F127+H127)</f>
        <v>24083</v>
      </c>
      <c r="K127" s="628">
        <f>SUM(D127+G127+I127)</f>
        <v>0</v>
      </c>
      <c r="L127" s="628">
        <f>SUM(J127:K127)</f>
        <v>24083</v>
      </c>
      <c r="M127" s="628">
        <v>264545</v>
      </c>
      <c r="N127" s="628">
        <v>4914</v>
      </c>
      <c r="O127" s="628">
        <f>SUM(L127:N127)</f>
        <v>293542</v>
      </c>
    </row>
    <row r="128" spans="1:15" s="631" customFormat="1" x14ac:dyDescent="0.25">
      <c r="A128" s="633"/>
      <c r="B128" s="629" t="s">
        <v>738</v>
      </c>
      <c r="C128" s="629">
        <v>10030</v>
      </c>
      <c r="D128" s="629"/>
      <c r="E128" s="629"/>
      <c r="F128" s="629">
        <v>14053</v>
      </c>
      <c r="G128" s="629"/>
      <c r="H128" s="629"/>
      <c r="I128" s="629"/>
      <c r="J128" s="645">
        <f>SUM(C128+E128+F128+H128)</f>
        <v>24083</v>
      </c>
      <c r="K128" s="645">
        <f>SUM(D128+G128+I128)</f>
        <v>0</v>
      </c>
      <c r="L128" s="645">
        <f>SUM(J128:K128)</f>
        <v>24083</v>
      </c>
      <c r="M128" s="645">
        <v>262875</v>
      </c>
      <c r="N128" s="645">
        <v>4914</v>
      </c>
      <c r="O128" s="645">
        <f>SUM(L128:N128)</f>
        <v>291872</v>
      </c>
    </row>
    <row r="129" spans="1:15" s="631" customFormat="1" x14ac:dyDescent="0.25">
      <c r="A129" s="634"/>
      <c r="B129" s="625" t="s">
        <v>737</v>
      </c>
      <c r="C129" s="625"/>
      <c r="D129" s="625"/>
      <c r="E129" s="625"/>
      <c r="F129" s="625"/>
      <c r="G129" s="625"/>
      <c r="H129" s="625"/>
      <c r="I129" s="625"/>
      <c r="J129" s="632">
        <f>SUM(C129+E129+F129+H129)</f>
        <v>0</v>
      </c>
      <c r="K129" s="632">
        <f>SUM(D129+G129+I129)</f>
        <v>0</v>
      </c>
      <c r="L129" s="632">
        <f>SUM(J129:K129)</f>
        <v>0</v>
      </c>
      <c r="M129" s="632">
        <v>1670</v>
      </c>
      <c r="N129" s="632"/>
      <c r="O129" s="632">
        <f>SUM(L129:N129)</f>
        <v>1670</v>
      </c>
    </row>
    <row r="130" spans="1:15" s="631" customFormat="1" x14ac:dyDescent="0.25">
      <c r="A130" s="634"/>
      <c r="B130" s="625" t="s">
        <v>178</v>
      </c>
      <c r="C130" s="625"/>
      <c r="D130" s="625"/>
      <c r="E130" s="625"/>
      <c r="F130" s="625"/>
      <c r="G130" s="625"/>
      <c r="H130" s="625"/>
      <c r="I130" s="625"/>
      <c r="J130" s="632"/>
      <c r="K130" s="632"/>
      <c r="L130" s="632"/>
      <c r="M130" s="632"/>
      <c r="N130" s="632"/>
      <c r="O130" s="632"/>
    </row>
    <row r="131" spans="1:15" s="631" customFormat="1" x14ac:dyDescent="0.25">
      <c r="A131" s="634"/>
      <c r="B131" s="852" t="s">
        <v>1110</v>
      </c>
      <c r="C131" s="625"/>
      <c r="D131" s="625"/>
      <c r="E131" s="625"/>
      <c r="F131" s="625"/>
      <c r="G131" s="625"/>
      <c r="H131" s="625"/>
      <c r="I131" s="625"/>
      <c r="J131" s="852">
        <f t="shared" ref="J131:J133" si="72">SUM(C131+E131+F131+H131)</f>
        <v>0</v>
      </c>
      <c r="K131" s="852">
        <f t="shared" ref="K131:K133" si="73">SUM(D131+G131+I131)</f>
        <v>0</v>
      </c>
      <c r="L131" s="852">
        <f t="shared" ref="L131:L133" si="74">SUM(J131:K131)</f>
        <v>0</v>
      </c>
      <c r="M131" s="852">
        <v>161</v>
      </c>
      <c r="N131" s="852"/>
      <c r="O131" s="852">
        <f t="shared" ref="O131:O133" si="75">SUM(L131:N131)</f>
        <v>161</v>
      </c>
    </row>
    <row r="132" spans="1:15" s="631" customFormat="1" x14ac:dyDescent="0.25">
      <c r="A132" s="634"/>
      <c r="B132" s="625" t="s">
        <v>179</v>
      </c>
      <c r="C132" s="625"/>
      <c r="D132" s="625"/>
      <c r="E132" s="625"/>
      <c r="F132" s="625"/>
      <c r="G132" s="625"/>
      <c r="H132" s="625"/>
      <c r="I132" s="625"/>
      <c r="J132" s="852"/>
      <c r="K132" s="852"/>
      <c r="L132" s="852"/>
      <c r="M132" s="852"/>
      <c r="N132" s="852"/>
      <c r="O132" s="852"/>
    </row>
    <row r="133" spans="1:15" s="631" customFormat="1" ht="16.5" thickBot="1" x14ac:dyDescent="0.3">
      <c r="A133" s="634"/>
      <c r="B133" s="637" t="s">
        <v>1111</v>
      </c>
      <c r="C133" s="625"/>
      <c r="D133" s="625"/>
      <c r="E133" s="625"/>
      <c r="F133" s="625"/>
      <c r="G133" s="625"/>
      <c r="H133" s="625"/>
      <c r="I133" s="625"/>
      <c r="J133" s="852">
        <f t="shared" si="72"/>
        <v>0</v>
      </c>
      <c r="K133" s="852">
        <f t="shared" si="73"/>
        <v>0</v>
      </c>
      <c r="L133" s="852">
        <f t="shared" si="74"/>
        <v>0</v>
      </c>
      <c r="M133" s="852">
        <v>1090</v>
      </c>
      <c r="N133" s="852"/>
      <c r="O133" s="852">
        <f t="shared" si="75"/>
        <v>1090</v>
      </c>
    </row>
    <row r="134" spans="1:15" s="631" customFormat="1" ht="17.25" thickTop="1" thickBot="1" x14ac:dyDescent="0.3">
      <c r="A134" s="620"/>
      <c r="B134" s="619" t="s">
        <v>736</v>
      </c>
      <c r="C134" s="619">
        <f>+C127+C131+C133</f>
        <v>10030</v>
      </c>
      <c r="D134" s="619">
        <f t="shared" ref="D134:O134" si="76">+D127+D131+D133</f>
        <v>0</v>
      </c>
      <c r="E134" s="619">
        <f t="shared" si="76"/>
        <v>0</v>
      </c>
      <c r="F134" s="619">
        <f t="shared" si="76"/>
        <v>14053</v>
      </c>
      <c r="G134" s="619">
        <f t="shared" si="76"/>
        <v>0</v>
      </c>
      <c r="H134" s="619">
        <f t="shared" si="76"/>
        <v>0</v>
      </c>
      <c r="I134" s="619">
        <f t="shared" si="76"/>
        <v>0</v>
      </c>
      <c r="J134" s="619">
        <f t="shared" si="76"/>
        <v>24083</v>
      </c>
      <c r="K134" s="619">
        <f t="shared" si="76"/>
        <v>0</v>
      </c>
      <c r="L134" s="619">
        <f t="shared" si="76"/>
        <v>24083</v>
      </c>
      <c r="M134" s="619">
        <f t="shared" si="76"/>
        <v>265796</v>
      </c>
      <c r="N134" s="619">
        <f t="shared" si="76"/>
        <v>4914</v>
      </c>
      <c r="O134" s="619">
        <f t="shared" si="76"/>
        <v>294793</v>
      </c>
    </row>
    <row r="135" spans="1:15" s="631" customFormat="1" ht="17.25" thickTop="1" thickBot="1" x14ac:dyDescent="0.3">
      <c r="A135" s="620"/>
      <c r="B135" s="619" t="s">
        <v>735</v>
      </c>
      <c r="C135" s="619">
        <f>+C128+C131</f>
        <v>10030</v>
      </c>
      <c r="D135" s="619">
        <f t="shared" ref="D135:O135" si="77">+D128+D131</f>
        <v>0</v>
      </c>
      <c r="E135" s="619">
        <f t="shared" si="77"/>
        <v>0</v>
      </c>
      <c r="F135" s="619">
        <f t="shared" si="77"/>
        <v>14053</v>
      </c>
      <c r="G135" s="619">
        <f t="shared" si="77"/>
        <v>0</v>
      </c>
      <c r="H135" s="619">
        <f t="shared" si="77"/>
        <v>0</v>
      </c>
      <c r="I135" s="619">
        <f t="shared" si="77"/>
        <v>0</v>
      </c>
      <c r="J135" s="619">
        <f t="shared" si="77"/>
        <v>24083</v>
      </c>
      <c r="K135" s="619">
        <f t="shared" si="77"/>
        <v>0</v>
      </c>
      <c r="L135" s="619">
        <f t="shared" si="77"/>
        <v>24083</v>
      </c>
      <c r="M135" s="619">
        <f t="shared" si="77"/>
        <v>263036</v>
      </c>
      <c r="N135" s="619">
        <f t="shared" si="77"/>
        <v>4914</v>
      </c>
      <c r="O135" s="619">
        <f t="shared" si="77"/>
        <v>292033</v>
      </c>
    </row>
    <row r="136" spans="1:15" s="631" customFormat="1" ht="17.25" thickTop="1" thickBot="1" x14ac:dyDescent="0.3">
      <c r="A136" s="620"/>
      <c r="B136" s="619" t="s">
        <v>734</v>
      </c>
      <c r="C136" s="619">
        <f>+C129+C133</f>
        <v>0</v>
      </c>
      <c r="D136" s="619">
        <f t="shared" ref="D136:O136" si="78">+D129+D133</f>
        <v>0</v>
      </c>
      <c r="E136" s="619">
        <f t="shared" si="78"/>
        <v>0</v>
      </c>
      <c r="F136" s="619">
        <f t="shared" si="78"/>
        <v>0</v>
      </c>
      <c r="G136" s="619">
        <f t="shared" si="78"/>
        <v>0</v>
      </c>
      <c r="H136" s="619">
        <f t="shared" si="78"/>
        <v>0</v>
      </c>
      <c r="I136" s="619">
        <f t="shared" si="78"/>
        <v>0</v>
      </c>
      <c r="J136" s="619">
        <f t="shared" si="78"/>
        <v>0</v>
      </c>
      <c r="K136" s="619">
        <f t="shared" si="78"/>
        <v>0</v>
      </c>
      <c r="L136" s="619">
        <f t="shared" si="78"/>
        <v>0</v>
      </c>
      <c r="M136" s="619">
        <f t="shared" si="78"/>
        <v>2760</v>
      </c>
      <c r="N136" s="619">
        <f t="shared" si="78"/>
        <v>0</v>
      </c>
      <c r="O136" s="619">
        <f t="shared" si="78"/>
        <v>2760</v>
      </c>
    </row>
    <row r="137" spans="1:15" ht="16.5" thickTop="1" x14ac:dyDescent="0.25">
      <c r="A137" s="630" t="s">
        <v>2</v>
      </c>
      <c r="B137" s="628" t="s">
        <v>763</v>
      </c>
      <c r="C137" s="628"/>
      <c r="D137" s="628"/>
      <c r="E137" s="628"/>
      <c r="F137" s="628"/>
      <c r="G137" s="628"/>
      <c r="H137" s="628"/>
      <c r="I137" s="628"/>
      <c r="J137" s="628"/>
      <c r="K137" s="628"/>
      <c r="L137" s="628"/>
      <c r="M137" s="628"/>
      <c r="N137" s="628"/>
      <c r="O137" s="628"/>
    </row>
    <row r="138" spans="1:15" x14ac:dyDescent="0.25">
      <c r="A138" s="630"/>
      <c r="B138" s="628" t="s">
        <v>653</v>
      </c>
      <c r="C138" s="628">
        <v>9548</v>
      </c>
      <c r="D138" s="628"/>
      <c r="E138" s="628"/>
      <c r="F138" s="628">
        <v>7699</v>
      </c>
      <c r="G138" s="628"/>
      <c r="H138" s="628"/>
      <c r="I138" s="628"/>
      <c r="J138" s="624">
        <f>SUM(C138+E138+F138+H138)</f>
        <v>17247</v>
      </c>
      <c r="K138" s="624">
        <f>SUM(D138+G138+I138)</f>
        <v>0</v>
      </c>
      <c r="L138" s="624">
        <f>SUM(J138:K138)</f>
        <v>17247</v>
      </c>
      <c r="M138" s="624">
        <v>167782</v>
      </c>
      <c r="N138" s="624">
        <v>571</v>
      </c>
      <c r="O138" s="624">
        <f>SUM(L138:N138)</f>
        <v>185600</v>
      </c>
    </row>
    <row r="139" spans="1:15" x14ac:dyDescent="0.25">
      <c r="A139" s="633"/>
      <c r="B139" s="625" t="s">
        <v>738</v>
      </c>
      <c r="C139" s="625">
        <v>9548</v>
      </c>
      <c r="D139" s="625"/>
      <c r="E139" s="625"/>
      <c r="F139" s="625">
        <v>7699</v>
      </c>
      <c r="G139" s="625"/>
      <c r="H139" s="625"/>
      <c r="I139" s="625"/>
      <c r="J139" s="632">
        <f>SUM(C139+E139+F139+H139)</f>
        <v>17247</v>
      </c>
      <c r="K139" s="632">
        <f>SUM(D139+G139+I139)</f>
        <v>0</v>
      </c>
      <c r="L139" s="632">
        <f>SUM(J139:K139)</f>
        <v>17247</v>
      </c>
      <c r="M139" s="632">
        <v>166512</v>
      </c>
      <c r="N139" s="632">
        <v>571</v>
      </c>
      <c r="O139" s="632">
        <f>SUM(L139:N139)</f>
        <v>184330</v>
      </c>
    </row>
    <row r="140" spans="1:15" x14ac:dyDescent="0.25">
      <c r="A140" s="633"/>
      <c r="B140" s="625" t="s">
        <v>737</v>
      </c>
      <c r="C140" s="625"/>
      <c r="D140" s="625"/>
      <c r="E140" s="625"/>
      <c r="F140" s="625"/>
      <c r="G140" s="625"/>
      <c r="H140" s="625"/>
      <c r="I140" s="625"/>
      <c r="J140" s="632">
        <f>SUM(C140+E140+F140+H140)</f>
        <v>0</v>
      </c>
      <c r="K140" s="632">
        <f>SUM(D140+G140+I140)</f>
        <v>0</v>
      </c>
      <c r="L140" s="632">
        <f>SUM(J140:K140)</f>
        <v>0</v>
      </c>
      <c r="M140" s="632">
        <v>1270</v>
      </c>
      <c r="N140" s="632"/>
      <c r="O140" s="632">
        <f>SUM(L140:N140)</f>
        <v>1270</v>
      </c>
    </row>
    <row r="141" spans="1:15" x14ac:dyDescent="0.25">
      <c r="A141" s="630"/>
      <c r="B141" s="629" t="s">
        <v>178</v>
      </c>
      <c r="C141" s="629"/>
      <c r="D141" s="629"/>
      <c r="E141" s="629"/>
      <c r="F141" s="629"/>
      <c r="G141" s="629"/>
      <c r="H141" s="629"/>
      <c r="I141" s="629"/>
      <c r="J141" s="628"/>
      <c r="K141" s="628"/>
      <c r="L141" s="628"/>
      <c r="M141" s="628"/>
      <c r="N141" s="628"/>
      <c r="O141" s="628"/>
    </row>
    <row r="142" spans="1:15" x14ac:dyDescent="0.25">
      <c r="A142" s="633"/>
      <c r="B142" s="852" t="s">
        <v>1110</v>
      </c>
      <c r="C142" s="625"/>
      <c r="D142" s="625"/>
      <c r="E142" s="625"/>
      <c r="F142" s="625"/>
      <c r="G142" s="625"/>
      <c r="H142" s="625"/>
      <c r="I142" s="625"/>
      <c r="J142" s="852">
        <f>SUM(C142+E142+F142+H142)</f>
        <v>0</v>
      </c>
      <c r="K142" s="852">
        <f>SUM(D142+G142+I142)</f>
        <v>0</v>
      </c>
      <c r="L142" s="852">
        <f>SUM(J142:K142)</f>
        <v>0</v>
      </c>
      <c r="M142" s="852">
        <v>212</v>
      </c>
      <c r="N142" s="852"/>
      <c r="O142" s="852">
        <f>SUM(L142:N142)</f>
        <v>212</v>
      </c>
    </row>
    <row r="143" spans="1:15" s="631" customFormat="1" ht="31.5" x14ac:dyDescent="0.25">
      <c r="A143" s="630"/>
      <c r="B143" s="852" t="s">
        <v>941</v>
      </c>
      <c r="C143" s="853"/>
      <c r="D143" s="629"/>
      <c r="E143" s="629"/>
      <c r="F143" s="629"/>
      <c r="G143" s="629"/>
      <c r="H143" s="629"/>
      <c r="I143" s="629"/>
      <c r="J143" s="852">
        <f t="shared" ref="J143:J145" si="79">SUM(C143+E143+F143+H143)</f>
        <v>0</v>
      </c>
      <c r="K143" s="852">
        <f t="shared" ref="K143:K145" si="80">SUM(D143+G143+I143)</f>
        <v>0</v>
      </c>
      <c r="L143" s="852">
        <f t="shared" ref="L143:L145" si="81">SUM(J143:K143)</f>
        <v>0</v>
      </c>
      <c r="M143" s="853">
        <v>437</v>
      </c>
      <c r="N143" s="853"/>
      <c r="O143" s="852">
        <f t="shared" ref="O143:O145" si="82">SUM(L143:N143)</f>
        <v>437</v>
      </c>
    </row>
    <row r="144" spans="1:15" s="631" customFormat="1" x14ac:dyDescent="0.25">
      <c r="A144" s="630"/>
      <c r="B144" s="629" t="s">
        <v>179</v>
      </c>
      <c r="C144" s="629"/>
      <c r="D144" s="629"/>
      <c r="E144" s="629"/>
      <c r="F144" s="629"/>
      <c r="G144" s="629"/>
      <c r="H144" s="629"/>
      <c r="I144" s="629"/>
      <c r="J144" s="852"/>
      <c r="K144" s="852"/>
      <c r="L144" s="852"/>
      <c r="M144" s="853"/>
      <c r="N144" s="853"/>
      <c r="O144" s="852"/>
    </row>
    <row r="145" spans="1:15" s="631" customFormat="1" ht="16.5" thickBot="1" x14ac:dyDescent="0.3">
      <c r="A145" s="633"/>
      <c r="B145" s="637" t="s">
        <v>1111</v>
      </c>
      <c r="C145" s="625"/>
      <c r="D145" s="625"/>
      <c r="E145" s="625"/>
      <c r="F145" s="625"/>
      <c r="G145" s="625"/>
      <c r="H145" s="625"/>
      <c r="I145" s="625"/>
      <c r="J145" s="852">
        <f t="shared" si="79"/>
        <v>0</v>
      </c>
      <c r="K145" s="852">
        <f t="shared" si="80"/>
        <v>0</v>
      </c>
      <c r="L145" s="852">
        <f t="shared" si="81"/>
        <v>0</v>
      </c>
      <c r="M145" s="852">
        <v>637</v>
      </c>
      <c r="N145" s="852"/>
      <c r="O145" s="852">
        <f t="shared" si="82"/>
        <v>637</v>
      </c>
    </row>
    <row r="146" spans="1:15" s="631" customFormat="1" ht="17.25" thickTop="1" thickBot="1" x14ac:dyDescent="0.3">
      <c r="A146" s="620"/>
      <c r="B146" s="619" t="s">
        <v>736</v>
      </c>
      <c r="C146" s="619">
        <f>+C138+C142+C143+C145</f>
        <v>9548</v>
      </c>
      <c r="D146" s="619">
        <f t="shared" ref="D146:O146" si="83">+D138+D142+D143+D145</f>
        <v>0</v>
      </c>
      <c r="E146" s="619">
        <f t="shared" si="83"/>
        <v>0</v>
      </c>
      <c r="F146" s="619">
        <f t="shared" si="83"/>
        <v>7699</v>
      </c>
      <c r="G146" s="619">
        <f t="shared" si="83"/>
        <v>0</v>
      </c>
      <c r="H146" s="619">
        <f t="shared" si="83"/>
        <v>0</v>
      </c>
      <c r="I146" s="619">
        <f t="shared" si="83"/>
        <v>0</v>
      </c>
      <c r="J146" s="619">
        <f t="shared" si="83"/>
        <v>17247</v>
      </c>
      <c r="K146" s="619">
        <f t="shared" si="83"/>
        <v>0</v>
      </c>
      <c r="L146" s="619">
        <f t="shared" si="83"/>
        <v>17247</v>
      </c>
      <c r="M146" s="619">
        <f t="shared" si="83"/>
        <v>169068</v>
      </c>
      <c r="N146" s="619">
        <f t="shared" si="83"/>
        <v>571</v>
      </c>
      <c r="O146" s="619">
        <f t="shared" si="83"/>
        <v>186886</v>
      </c>
    </row>
    <row r="147" spans="1:15" s="631" customFormat="1" ht="17.25" thickTop="1" thickBot="1" x14ac:dyDescent="0.3">
      <c r="A147" s="620"/>
      <c r="B147" s="619" t="s">
        <v>735</v>
      </c>
      <c r="C147" s="619">
        <f>+C139+C142+C143</f>
        <v>9548</v>
      </c>
      <c r="D147" s="619">
        <f t="shared" ref="D147:O147" si="84">+D139+D142+D143</f>
        <v>0</v>
      </c>
      <c r="E147" s="619">
        <f t="shared" si="84"/>
        <v>0</v>
      </c>
      <c r="F147" s="619">
        <f t="shared" si="84"/>
        <v>7699</v>
      </c>
      <c r="G147" s="619">
        <f t="shared" si="84"/>
        <v>0</v>
      </c>
      <c r="H147" s="619">
        <f t="shared" si="84"/>
        <v>0</v>
      </c>
      <c r="I147" s="619">
        <f t="shared" si="84"/>
        <v>0</v>
      </c>
      <c r="J147" s="619">
        <f t="shared" si="84"/>
        <v>17247</v>
      </c>
      <c r="K147" s="619">
        <f t="shared" si="84"/>
        <v>0</v>
      </c>
      <c r="L147" s="619">
        <f t="shared" si="84"/>
        <v>17247</v>
      </c>
      <c r="M147" s="619">
        <f t="shared" si="84"/>
        <v>167161</v>
      </c>
      <c r="N147" s="619">
        <f t="shared" si="84"/>
        <v>571</v>
      </c>
      <c r="O147" s="619">
        <f t="shared" si="84"/>
        <v>184979</v>
      </c>
    </row>
    <row r="148" spans="1:15" s="631" customFormat="1" ht="17.25" thickTop="1" thickBot="1" x14ac:dyDescent="0.3">
      <c r="A148" s="620"/>
      <c r="B148" s="619" t="s">
        <v>734</v>
      </c>
      <c r="C148" s="619">
        <f>+C140+C145</f>
        <v>0</v>
      </c>
      <c r="D148" s="619">
        <f t="shared" ref="D148:O148" si="85">+D140+D145</f>
        <v>0</v>
      </c>
      <c r="E148" s="619">
        <f t="shared" si="85"/>
        <v>0</v>
      </c>
      <c r="F148" s="619">
        <f t="shared" si="85"/>
        <v>0</v>
      </c>
      <c r="G148" s="619">
        <f t="shared" si="85"/>
        <v>0</v>
      </c>
      <c r="H148" s="619">
        <f t="shared" si="85"/>
        <v>0</v>
      </c>
      <c r="I148" s="619">
        <f t="shared" si="85"/>
        <v>0</v>
      </c>
      <c r="J148" s="619">
        <f t="shared" si="85"/>
        <v>0</v>
      </c>
      <c r="K148" s="619">
        <f t="shared" si="85"/>
        <v>0</v>
      </c>
      <c r="L148" s="619">
        <f t="shared" si="85"/>
        <v>0</v>
      </c>
      <c r="M148" s="619">
        <f t="shared" si="85"/>
        <v>1907</v>
      </c>
      <c r="N148" s="619">
        <f t="shared" si="85"/>
        <v>0</v>
      </c>
      <c r="O148" s="619">
        <f t="shared" si="85"/>
        <v>1907</v>
      </c>
    </row>
    <row r="149" spans="1:15" s="631" customFormat="1" ht="16.5" thickTop="1" x14ac:dyDescent="0.25">
      <c r="A149" s="626" t="s">
        <v>3</v>
      </c>
      <c r="B149" s="628" t="s">
        <v>762</v>
      </c>
      <c r="C149" s="628"/>
      <c r="D149" s="628"/>
      <c r="E149" s="628"/>
      <c r="F149" s="628"/>
      <c r="G149" s="628"/>
      <c r="H149" s="628"/>
      <c r="I149" s="628"/>
      <c r="J149" s="628"/>
      <c r="K149" s="628"/>
      <c r="L149" s="628"/>
      <c r="M149" s="628"/>
      <c r="N149" s="628"/>
      <c r="O149" s="628"/>
    </row>
    <row r="150" spans="1:15" s="631" customFormat="1" x14ac:dyDescent="0.25">
      <c r="A150" s="626"/>
      <c r="B150" s="624" t="s">
        <v>653</v>
      </c>
      <c r="C150" s="624">
        <v>10914</v>
      </c>
      <c r="D150" s="624"/>
      <c r="E150" s="624"/>
      <c r="F150" s="624">
        <v>8002</v>
      </c>
      <c r="G150" s="624"/>
      <c r="H150" s="624"/>
      <c r="I150" s="624"/>
      <c r="J150" s="624">
        <f>SUM(C150+E150+F150+H150)</f>
        <v>18916</v>
      </c>
      <c r="K150" s="624">
        <f>SUM(D150+G150+I150)</f>
        <v>0</v>
      </c>
      <c r="L150" s="624">
        <f>SUM(J150:K150)</f>
        <v>18916</v>
      </c>
      <c r="M150" s="624">
        <v>205414</v>
      </c>
      <c r="N150" s="624">
        <v>2319</v>
      </c>
      <c r="O150" s="624">
        <f>SUM(L150:N150)</f>
        <v>226649</v>
      </c>
    </row>
    <row r="151" spans="1:15" s="631" customFormat="1" x14ac:dyDescent="0.25">
      <c r="A151" s="634"/>
      <c r="B151" s="625" t="s">
        <v>738</v>
      </c>
      <c r="C151" s="625">
        <v>10914</v>
      </c>
      <c r="D151" s="625"/>
      <c r="E151" s="625"/>
      <c r="F151" s="625">
        <v>8002</v>
      </c>
      <c r="G151" s="625"/>
      <c r="H151" s="625"/>
      <c r="I151" s="625"/>
      <c r="J151" s="632">
        <f>SUM(C151+E151+F151+H151)</f>
        <v>18916</v>
      </c>
      <c r="K151" s="632">
        <f>SUM(D151+G151+I151)</f>
        <v>0</v>
      </c>
      <c r="L151" s="632">
        <f>SUM(J151:K151)</f>
        <v>18916</v>
      </c>
      <c r="M151" s="632">
        <v>204111</v>
      </c>
      <c r="N151" s="632">
        <v>2319</v>
      </c>
      <c r="O151" s="632">
        <f>SUM(L151:N151)</f>
        <v>225346</v>
      </c>
    </row>
    <row r="152" spans="1:15" s="631" customFormat="1" x14ac:dyDescent="0.25">
      <c r="A152" s="634"/>
      <c r="B152" s="625" t="s">
        <v>737</v>
      </c>
      <c r="C152" s="625"/>
      <c r="D152" s="625"/>
      <c r="E152" s="625"/>
      <c r="F152" s="625"/>
      <c r="G152" s="625"/>
      <c r="H152" s="625"/>
      <c r="I152" s="625"/>
      <c r="J152" s="632">
        <f>SUM(C152+E152+F152+H152)</f>
        <v>0</v>
      </c>
      <c r="K152" s="632">
        <f>SUM(D152+G152+I152)</f>
        <v>0</v>
      </c>
      <c r="L152" s="632">
        <f>SUM(J152:K152)</f>
        <v>0</v>
      </c>
      <c r="M152" s="632">
        <v>1303</v>
      </c>
      <c r="N152" s="632"/>
      <c r="O152" s="632">
        <f>SUM(L152:N152)</f>
        <v>1303</v>
      </c>
    </row>
    <row r="153" spans="1:15" x14ac:dyDescent="0.25">
      <c r="A153" s="634"/>
      <c r="B153" s="625" t="s">
        <v>178</v>
      </c>
      <c r="C153" s="625"/>
      <c r="D153" s="625"/>
      <c r="E153" s="625"/>
      <c r="F153" s="625"/>
      <c r="G153" s="625"/>
      <c r="H153" s="625"/>
      <c r="I153" s="625"/>
      <c r="J153" s="632"/>
      <c r="K153" s="632"/>
      <c r="L153" s="632"/>
      <c r="M153" s="632"/>
      <c r="N153" s="632"/>
      <c r="O153" s="632"/>
    </row>
    <row r="154" spans="1:15" x14ac:dyDescent="0.25">
      <c r="A154" s="634"/>
      <c r="B154" s="852" t="s">
        <v>1110</v>
      </c>
      <c r="C154" s="625"/>
      <c r="D154" s="625"/>
      <c r="E154" s="625"/>
      <c r="F154" s="625"/>
      <c r="G154" s="625"/>
      <c r="H154" s="625"/>
      <c r="I154" s="625"/>
      <c r="J154" s="852">
        <f t="shared" ref="J154:J157" si="86">SUM(C154+E154+F154+H154)</f>
        <v>0</v>
      </c>
      <c r="K154" s="852">
        <f t="shared" ref="K154:K157" si="87">SUM(D154+G154+I154)</f>
        <v>0</v>
      </c>
      <c r="L154" s="852">
        <f t="shared" ref="L154:L157" si="88">SUM(J154:K154)</f>
        <v>0</v>
      </c>
      <c r="M154" s="852">
        <v>108</v>
      </c>
      <c r="N154" s="852"/>
      <c r="O154" s="852">
        <f t="shared" ref="O154:O157" si="89">SUM(L154:N154)</f>
        <v>108</v>
      </c>
    </row>
    <row r="155" spans="1:15" ht="31.5" x14ac:dyDescent="0.25">
      <c r="A155" s="634"/>
      <c r="B155" s="852" t="s">
        <v>941</v>
      </c>
      <c r="C155" s="852"/>
      <c r="D155" s="625"/>
      <c r="E155" s="625"/>
      <c r="F155" s="625"/>
      <c r="G155" s="625"/>
      <c r="H155" s="625"/>
      <c r="I155" s="625"/>
      <c r="J155" s="852">
        <f t="shared" si="86"/>
        <v>0</v>
      </c>
      <c r="K155" s="852">
        <f t="shared" si="87"/>
        <v>0</v>
      </c>
      <c r="L155" s="852">
        <f t="shared" si="88"/>
        <v>0</v>
      </c>
      <c r="M155" s="852">
        <v>164</v>
      </c>
      <c r="N155" s="852"/>
      <c r="O155" s="852">
        <f t="shared" si="89"/>
        <v>164</v>
      </c>
    </row>
    <row r="156" spans="1:15" x14ac:dyDescent="0.25">
      <c r="A156" s="634"/>
      <c r="B156" s="625" t="s">
        <v>179</v>
      </c>
      <c r="C156" s="625"/>
      <c r="D156" s="625"/>
      <c r="E156" s="625"/>
      <c r="F156" s="625"/>
      <c r="G156" s="625"/>
      <c r="H156" s="625"/>
      <c r="I156" s="625"/>
      <c r="J156" s="852"/>
      <c r="K156" s="852"/>
      <c r="L156" s="852"/>
      <c r="M156" s="852"/>
      <c r="N156" s="852"/>
      <c r="O156" s="852"/>
    </row>
    <row r="157" spans="1:15" ht="16.5" thickBot="1" x14ac:dyDescent="0.3">
      <c r="A157" s="634"/>
      <c r="B157" s="637" t="s">
        <v>1111</v>
      </c>
      <c r="C157" s="625"/>
      <c r="D157" s="625"/>
      <c r="E157" s="625"/>
      <c r="F157" s="625"/>
      <c r="G157" s="625"/>
      <c r="H157" s="625"/>
      <c r="I157" s="625"/>
      <c r="J157" s="852">
        <f t="shared" si="86"/>
        <v>0</v>
      </c>
      <c r="K157" s="852">
        <f t="shared" si="87"/>
        <v>0</v>
      </c>
      <c r="L157" s="852">
        <f t="shared" si="88"/>
        <v>0</v>
      </c>
      <c r="M157" s="852">
        <v>824</v>
      </c>
      <c r="N157" s="852"/>
      <c r="O157" s="852">
        <f t="shared" si="89"/>
        <v>824</v>
      </c>
    </row>
    <row r="158" spans="1:15" s="631" customFormat="1" ht="17.25" thickTop="1" thickBot="1" x14ac:dyDescent="0.3">
      <c r="A158" s="620"/>
      <c r="B158" s="619" t="s">
        <v>736</v>
      </c>
      <c r="C158" s="619">
        <f>+C150+C154+C155+C157</f>
        <v>10914</v>
      </c>
      <c r="D158" s="619">
        <f t="shared" ref="D158:O158" si="90">+D150+D154+D155+D157</f>
        <v>0</v>
      </c>
      <c r="E158" s="619">
        <f t="shared" si="90"/>
        <v>0</v>
      </c>
      <c r="F158" s="619">
        <f t="shared" si="90"/>
        <v>8002</v>
      </c>
      <c r="G158" s="619">
        <f t="shared" si="90"/>
        <v>0</v>
      </c>
      <c r="H158" s="619">
        <f t="shared" si="90"/>
        <v>0</v>
      </c>
      <c r="I158" s="619">
        <f t="shared" si="90"/>
        <v>0</v>
      </c>
      <c r="J158" s="619">
        <f t="shared" si="90"/>
        <v>18916</v>
      </c>
      <c r="K158" s="619">
        <f t="shared" si="90"/>
        <v>0</v>
      </c>
      <c r="L158" s="619">
        <f t="shared" si="90"/>
        <v>18916</v>
      </c>
      <c r="M158" s="619">
        <f t="shared" si="90"/>
        <v>206510</v>
      </c>
      <c r="N158" s="619">
        <f t="shared" si="90"/>
        <v>2319</v>
      </c>
      <c r="O158" s="619">
        <f t="shared" si="90"/>
        <v>227745</v>
      </c>
    </row>
    <row r="159" spans="1:15" s="631" customFormat="1" ht="17.25" thickTop="1" thickBot="1" x14ac:dyDescent="0.3">
      <c r="A159" s="620"/>
      <c r="B159" s="619" t="s">
        <v>735</v>
      </c>
      <c r="C159" s="619">
        <f>+C151+C154+C155</f>
        <v>10914</v>
      </c>
      <c r="D159" s="619">
        <f t="shared" ref="D159:O159" si="91">+D151+D154+D155</f>
        <v>0</v>
      </c>
      <c r="E159" s="619">
        <f t="shared" si="91"/>
        <v>0</v>
      </c>
      <c r="F159" s="619">
        <f t="shared" si="91"/>
        <v>8002</v>
      </c>
      <c r="G159" s="619">
        <f t="shared" si="91"/>
        <v>0</v>
      </c>
      <c r="H159" s="619">
        <f t="shared" si="91"/>
        <v>0</v>
      </c>
      <c r="I159" s="619">
        <f t="shared" si="91"/>
        <v>0</v>
      </c>
      <c r="J159" s="619">
        <f t="shared" si="91"/>
        <v>18916</v>
      </c>
      <c r="K159" s="619">
        <f t="shared" si="91"/>
        <v>0</v>
      </c>
      <c r="L159" s="619">
        <f t="shared" si="91"/>
        <v>18916</v>
      </c>
      <c r="M159" s="619">
        <f t="shared" si="91"/>
        <v>204383</v>
      </c>
      <c r="N159" s="619">
        <f t="shared" si="91"/>
        <v>2319</v>
      </c>
      <c r="O159" s="619">
        <f t="shared" si="91"/>
        <v>225618</v>
      </c>
    </row>
    <row r="160" spans="1:15" s="631" customFormat="1" ht="17.25" thickTop="1" thickBot="1" x14ac:dyDescent="0.3">
      <c r="A160" s="620"/>
      <c r="B160" s="619" t="s">
        <v>734</v>
      </c>
      <c r="C160" s="619">
        <f>+C152+C157</f>
        <v>0</v>
      </c>
      <c r="D160" s="619">
        <f t="shared" ref="D160:O160" si="92">+D152+D157</f>
        <v>0</v>
      </c>
      <c r="E160" s="619">
        <f t="shared" si="92"/>
        <v>0</v>
      </c>
      <c r="F160" s="619">
        <f t="shared" si="92"/>
        <v>0</v>
      </c>
      <c r="G160" s="619">
        <f t="shared" si="92"/>
        <v>0</v>
      </c>
      <c r="H160" s="619">
        <f t="shared" si="92"/>
        <v>0</v>
      </c>
      <c r="I160" s="619">
        <f t="shared" si="92"/>
        <v>0</v>
      </c>
      <c r="J160" s="619">
        <f t="shared" si="92"/>
        <v>0</v>
      </c>
      <c r="K160" s="619">
        <f t="shared" si="92"/>
        <v>0</v>
      </c>
      <c r="L160" s="619">
        <f t="shared" si="92"/>
        <v>0</v>
      </c>
      <c r="M160" s="619">
        <f t="shared" si="92"/>
        <v>2127</v>
      </c>
      <c r="N160" s="619">
        <f t="shared" si="92"/>
        <v>0</v>
      </c>
      <c r="O160" s="619">
        <f t="shared" si="92"/>
        <v>2127</v>
      </c>
    </row>
    <row r="161" spans="1:15" s="631" customFormat="1" ht="16.5" thickTop="1" x14ac:dyDescent="0.25">
      <c r="A161" s="630" t="s">
        <v>4</v>
      </c>
      <c r="B161" s="628" t="s">
        <v>761</v>
      </c>
      <c r="C161" s="628"/>
      <c r="D161" s="628"/>
      <c r="E161" s="628"/>
      <c r="F161" s="628"/>
      <c r="G161" s="628"/>
      <c r="H161" s="628"/>
      <c r="I161" s="628"/>
      <c r="J161" s="628"/>
      <c r="K161" s="628"/>
      <c r="L161" s="628"/>
      <c r="M161" s="628"/>
      <c r="N161" s="628"/>
      <c r="O161" s="628"/>
    </row>
    <row r="162" spans="1:15" s="631" customFormat="1" x14ac:dyDescent="0.25">
      <c r="A162" s="630"/>
      <c r="B162" s="628" t="s">
        <v>653</v>
      </c>
      <c r="C162" s="628">
        <v>11832</v>
      </c>
      <c r="D162" s="628"/>
      <c r="E162" s="628"/>
      <c r="F162" s="628">
        <v>6824</v>
      </c>
      <c r="G162" s="628"/>
      <c r="H162" s="628"/>
      <c r="I162" s="628"/>
      <c r="J162" s="624">
        <f>SUM(C162+E162+F162+H162)</f>
        <v>18656</v>
      </c>
      <c r="K162" s="624">
        <f>SUM(D162+G162+I162)</f>
        <v>0</v>
      </c>
      <c r="L162" s="624">
        <f>SUM(J162:K162)</f>
        <v>18656</v>
      </c>
      <c r="M162" s="624">
        <v>180994</v>
      </c>
      <c r="N162" s="624">
        <v>199</v>
      </c>
      <c r="O162" s="624">
        <f>SUM(L162:N162)</f>
        <v>199849</v>
      </c>
    </row>
    <row r="163" spans="1:15" s="631" customFormat="1" x14ac:dyDescent="0.25">
      <c r="A163" s="633"/>
      <c r="B163" s="625" t="s">
        <v>738</v>
      </c>
      <c r="C163" s="625">
        <v>11832</v>
      </c>
      <c r="D163" s="625"/>
      <c r="E163" s="625"/>
      <c r="F163" s="625">
        <v>6824</v>
      </c>
      <c r="G163" s="625"/>
      <c r="H163" s="625"/>
      <c r="I163" s="625"/>
      <c r="J163" s="632">
        <f>SUM(C163+E163+F163+H163)</f>
        <v>18656</v>
      </c>
      <c r="K163" s="632">
        <f>SUM(D163+G163+I163)</f>
        <v>0</v>
      </c>
      <c r="L163" s="632">
        <f>SUM(J163:K163)</f>
        <v>18656</v>
      </c>
      <c r="M163" s="632">
        <v>179864</v>
      </c>
      <c r="N163" s="632">
        <v>199</v>
      </c>
      <c r="O163" s="632">
        <f>SUM(L163:N163)</f>
        <v>198719</v>
      </c>
    </row>
    <row r="164" spans="1:15" s="631" customFormat="1" x14ac:dyDescent="0.25">
      <c r="A164" s="633"/>
      <c r="B164" s="625" t="s">
        <v>737</v>
      </c>
      <c r="C164" s="625"/>
      <c r="D164" s="625"/>
      <c r="E164" s="625"/>
      <c r="F164" s="625"/>
      <c r="G164" s="625"/>
      <c r="H164" s="625"/>
      <c r="I164" s="625"/>
      <c r="J164" s="632">
        <f>SUM(C164+E164+F164+H164)</f>
        <v>0</v>
      </c>
      <c r="K164" s="632">
        <f>SUM(D164+G164+I164)</f>
        <v>0</v>
      </c>
      <c r="L164" s="632">
        <f>SUM(J164:K164)</f>
        <v>0</v>
      </c>
      <c r="M164" s="632">
        <v>1130</v>
      </c>
      <c r="N164" s="632"/>
      <c r="O164" s="632">
        <f>SUM(L164:N164)</f>
        <v>1130</v>
      </c>
    </row>
    <row r="165" spans="1:15" s="631" customFormat="1" x14ac:dyDescent="0.25">
      <c r="A165" s="633"/>
      <c r="B165" s="625" t="s">
        <v>178</v>
      </c>
      <c r="C165" s="625"/>
      <c r="D165" s="625"/>
      <c r="E165" s="625"/>
      <c r="F165" s="625"/>
      <c r="G165" s="625"/>
      <c r="H165" s="625"/>
      <c r="I165" s="625"/>
      <c r="J165" s="632"/>
      <c r="K165" s="632"/>
      <c r="L165" s="632"/>
      <c r="M165" s="632"/>
      <c r="N165" s="632"/>
      <c r="O165" s="632"/>
    </row>
    <row r="166" spans="1:15" s="631" customFormat="1" x14ac:dyDescent="0.25">
      <c r="A166" s="633"/>
      <c r="B166" s="852" t="s">
        <v>1110</v>
      </c>
      <c r="C166" s="625"/>
      <c r="D166" s="625"/>
      <c r="E166" s="625"/>
      <c r="F166" s="625"/>
      <c r="G166" s="625"/>
      <c r="H166" s="625"/>
      <c r="I166" s="625"/>
      <c r="J166" s="852">
        <f t="shared" ref="J166:J169" si="93">SUM(C166+E166+F166+H166)</f>
        <v>0</v>
      </c>
      <c r="K166" s="852">
        <f t="shared" ref="K166:K169" si="94">SUM(D166+G166+I166)</f>
        <v>0</v>
      </c>
      <c r="L166" s="852">
        <f t="shared" ref="L166:L169" si="95">SUM(J166:K166)</f>
        <v>0</v>
      </c>
      <c r="M166" s="852">
        <v>45</v>
      </c>
      <c r="N166" s="852"/>
      <c r="O166" s="852">
        <f t="shared" ref="O166:O169" si="96">SUM(L166:N166)</f>
        <v>45</v>
      </c>
    </row>
    <row r="167" spans="1:15" s="631" customFormat="1" x14ac:dyDescent="0.25">
      <c r="A167" s="633"/>
      <c r="B167" s="852" t="s">
        <v>942</v>
      </c>
      <c r="C167" s="852"/>
      <c r="D167" s="625"/>
      <c r="E167" s="625"/>
      <c r="F167" s="625"/>
      <c r="G167" s="625"/>
      <c r="H167" s="625"/>
      <c r="I167" s="625"/>
      <c r="J167" s="852">
        <f t="shared" si="93"/>
        <v>0</v>
      </c>
      <c r="K167" s="852">
        <f t="shared" si="94"/>
        <v>0</v>
      </c>
      <c r="L167" s="852">
        <f t="shared" si="95"/>
        <v>0</v>
      </c>
      <c r="M167" s="852">
        <v>1143</v>
      </c>
      <c r="N167" s="852"/>
      <c r="O167" s="852">
        <f t="shared" si="96"/>
        <v>1143</v>
      </c>
    </row>
    <row r="168" spans="1:15" x14ac:dyDescent="0.25">
      <c r="A168" s="633"/>
      <c r="B168" s="625" t="s">
        <v>179</v>
      </c>
      <c r="C168" s="625"/>
      <c r="D168" s="625"/>
      <c r="E168" s="625"/>
      <c r="F168" s="625"/>
      <c r="G168" s="625"/>
      <c r="H168" s="625"/>
      <c r="I168" s="625"/>
      <c r="J168" s="852"/>
      <c r="K168" s="852"/>
      <c r="L168" s="852"/>
      <c r="M168" s="852"/>
      <c r="N168" s="852"/>
      <c r="O168" s="852"/>
    </row>
    <row r="169" spans="1:15" ht="16.5" thickBot="1" x14ac:dyDescent="0.3">
      <c r="A169" s="778"/>
      <c r="B169" s="864" t="s">
        <v>1111</v>
      </c>
      <c r="C169" s="779"/>
      <c r="D169" s="779"/>
      <c r="E169" s="779"/>
      <c r="F169" s="779"/>
      <c r="G169" s="779"/>
      <c r="H169" s="779"/>
      <c r="I169" s="779"/>
      <c r="J169" s="865">
        <f t="shared" si="93"/>
        <v>0</v>
      </c>
      <c r="K169" s="865">
        <f t="shared" si="94"/>
        <v>0</v>
      </c>
      <c r="L169" s="865">
        <f t="shared" si="95"/>
        <v>0</v>
      </c>
      <c r="M169" s="865">
        <v>727</v>
      </c>
      <c r="N169" s="865"/>
      <c r="O169" s="865">
        <f t="shared" si="96"/>
        <v>727</v>
      </c>
    </row>
    <row r="170" spans="1:15" ht="17.25" thickTop="1" thickBot="1" x14ac:dyDescent="0.3">
      <c r="A170" s="620"/>
      <c r="B170" s="619" t="s">
        <v>736</v>
      </c>
      <c r="C170" s="619">
        <f>+C162+C166+C167+C169</f>
        <v>11832</v>
      </c>
      <c r="D170" s="619">
        <f t="shared" ref="D170:O170" si="97">+D162+D166+D167+D169</f>
        <v>0</v>
      </c>
      <c r="E170" s="619">
        <f t="shared" si="97"/>
        <v>0</v>
      </c>
      <c r="F170" s="619">
        <f t="shared" si="97"/>
        <v>6824</v>
      </c>
      <c r="G170" s="619">
        <f t="shared" si="97"/>
        <v>0</v>
      </c>
      <c r="H170" s="619">
        <f t="shared" si="97"/>
        <v>0</v>
      </c>
      <c r="I170" s="619">
        <f t="shared" si="97"/>
        <v>0</v>
      </c>
      <c r="J170" s="619">
        <f t="shared" si="97"/>
        <v>18656</v>
      </c>
      <c r="K170" s="619">
        <f t="shared" si="97"/>
        <v>0</v>
      </c>
      <c r="L170" s="619">
        <f t="shared" si="97"/>
        <v>18656</v>
      </c>
      <c r="M170" s="619">
        <f t="shared" si="97"/>
        <v>182909</v>
      </c>
      <c r="N170" s="619">
        <f t="shared" si="97"/>
        <v>199</v>
      </c>
      <c r="O170" s="619">
        <f t="shared" si="97"/>
        <v>201764</v>
      </c>
    </row>
    <row r="171" spans="1:15" ht="17.25" thickTop="1" thickBot="1" x14ac:dyDescent="0.3">
      <c r="A171" s="620"/>
      <c r="B171" s="619" t="s">
        <v>735</v>
      </c>
      <c r="C171" s="619">
        <f>+C163+C166+C167</f>
        <v>11832</v>
      </c>
      <c r="D171" s="619">
        <f t="shared" ref="D171:O171" si="98">+D163+D166+D167</f>
        <v>0</v>
      </c>
      <c r="E171" s="619">
        <f t="shared" si="98"/>
        <v>0</v>
      </c>
      <c r="F171" s="619">
        <f t="shared" si="98"/>
        <v>6824</v>
      </c>
      <c r="G171" s="619">
        <f t="shared" si="98"/>
        <v>0</v>
      </c>
      <c r="H171" s="619">
        <f t="shared" si="98"/>
        <v>0</v>
      </c>
      <c r="I171" s="619">
        <f t="shared" si="98"/>
        <v>0</v>
      </c>
      <c r="J171" s="619">
        <f t="shared" si="98"/>
        <v>18656</v>
      </c>
      <c r="K171" s="619">
        <f t="shared" si="98"/>
        <v>0</v>
      </c>
      <c r="L171" s="619">
        <f t="shared" si="98"/>
        <v>18656</v>
      </c>
      <c r="M171" s="619">
        <f t="shared" si="98"/>
        <v>181052</v>
      </c>
      <c r="N171" s="619">
        <f t="shared" si="98"/>
        <v>199</v>
      </c>
      <c r="O171" s="619">
        <f t="shared" si="98"/>
        <v>199907</v>
      </c>
    </row>
    <row r="172" spans="1:15" ht="17.25" thickTop="1" thickBot="1" x14ac:dyDescent="0.3">
      <c r="A172" s="620"/>
      <c r="B172" s="619" t="s">
        <v>734</v>
      </c>
      <c r="C172" s="619">
        <f>+C164+C169</f>
        <v>0</v>
      </c>
      <c r="D172" s="619">
        <f t="shared" ref="D172:O172" si="99">+D164+D169</f>
        <v>0</v>
      </c>
      <c r="E172" s="619">
        <f t="shared" si="99"/>
        <v>0</v>
      </c>
      <c r="F172" s="619">
        <f t="shared" si="99"/>
        <v>0</v>
      </c>
      <c r="G172" s="619">
        <f t="shared" si="99"/>
        <v>0</v>
      </c>
      <c r="H172" s="619">
        <f t="shared" si="99"/>
        <v>0</v>
      </c>
      <c r="I172" s="619">
        <f t="shared" si="99"/>
        <v>0</v>
      </c>
      <c r="J172" s="619">
        <f t="shared" si="99"/>
        <v>0</v>
      </c>
      <c r="K172" s="619">
        <f t="shared" si="99"/>
        <v>0</v>
      </c>
      <c r="L172" s="619">
        <f t="shared" si="99"/>
        <v>0</v>
      </c>
      <c r="M172" s="619">
        <f t="shared" si="99"/>
        <v>1857</v>
      </c>
      <c r="N172" s="619">
        <f t="shared" si="99"/>
        <v>0</v>
      </c>
      <c r="O172" s="619">
        <f t="shared" si="99"/>
        <v>1857</v>
      </c>
    </row>
    <row r="173" spans="1:15" s="631" customFormat="1" ht="16.5" thickTop="1" x14ac:dyDescent="0.25">
      <c r="A173" s="626" t="s">
        <v>5</v>
      </c>
      <c r="B173" s="628" t="s">
        <v>760</v>
      </c>
      <c r="C173" s="628"/>
      <c r="D173" s="628"/>
      <c r="E173" s="628"/>
      <c r="F173" s="628"/>
      <c r="G173" s="628"/>
      <c r="H173" s="628"/>
      <c r="I173" s="628"/>
      <c r="J173" s="628"/>
      <c r="K173" s="628"/>
      <c r="L173" s="628"/>
      <c r="M173" s="628"/>
      <c r="N173" s="628"/>
      <c r="O173" s="628"/>
    </row>
    <row r="174" spans="1:15" s="631" customFormat="1" x14ac:dyDescent="0.25">
      <c r="A174" s="626"/>
      <c r="B174" s="624" t="s">
        <v>653</v>
      </c>
      <c r="C174" s="624">
        <v>10189</v>
      </c>
      <c r="D174" s="624"/>
      <c r="E174" s="624"/>
      <c r="F174" s="624">
        <v>7959</v>
      </c>
      <c r="G174" s="624"/>
      <c r="H174" s="624"/>
      <c r="I174" s="624"/>
      <c r="J174" s="624">
        <f>SUM(C174+E174+F174+H174)</f>
        <v>18148</v>
      </c>
      <c r="K174" s="624">
        <f>SUM(D174+G174+I174)</f>
        <v>0</v>
      </c>
      <c r="L174" s="624">
        <f>SUM(J174:K174)</f>
        <v>18148</v>
      </c>
      <c r="M174" s="624">
        <v>198085</v>
      </c>
      <c r="N174" s="624">
        <v>2288</v>
      </c>
      <c r="O174" s="624">
        <f>SUM(L174:N174)</f>
        <v>218521</v>
      </c>
    </row>
    <row r="175" spans="1:15" s="631" customFormat="1" x14ac:dyDescent="0.25">
      <c r="A175" s="634"/>
      <c r="B175" s="625" t="s">
        <v>738</v>
      </c>
      <c r="C175" s="625">
        <v>10189</v>
      </c>
      <c r="D175" s="625"/>
      <c r="E175" s="625"/>
      <c r="F175" s="625">
        <v>7959</v>
      </c>
      <c r="G175" s="625"/>
      <c r="H175" s="625"/>
      <c r="I175" s="625"/>
      <c r="J175" s="632">
        <f>SUM(C175+E175+F175+H175)</f>
        <v>18148</v>
      </c>
      <c r="K175" s="632">
        <f>SUM(D175+G175+I175)</f>
        <v>0</v>
      </c>
      <c r="L175" s="632">
        <f>SUM(J175:K175)</f>
        <v>18148</v>
      </c>
      <c r="M175" s="632">
        <v>196806</v>
      </c>
      <c r="N175" s="632">
        <v>2288</v>
      </c>
      <c r="O175" s="632">
        <f>SUM(L175:N175)</f>
        <v>217242</v>
      </c>
    </row>
    <row r="176" spans="1:15" s="631" customFormat="1" x14ac:dyDescent="0.25">
      <c r="A176" s="634"/>
      <c r="B176" s="625" t="s">
        <v>737</v>
      </c>
      <c r="C176" s="625"/>
      <c r="D176" s="625"/>
      <c r="E176" s="625"/>
      <c r="F176" s="625"/>
      <c r="G176" s="625"/>
      <c r="H176" s="625"/>
      <c r="I176" s="625"/>
      <c r="J176" s="632">
        <f>SUM(C176+E176+F176+H176)</f>
        <v>0</v>
      </c>
      <c r="K176" s="632">
        <f>SUM(D176+G176+I176)</f>
        <v>0</v>
      </c>
      <c r="L176" s="632">
        <f>SUM(J176:K176)</f>
        <v>0</v>
      </c>
      <c r="M176" s="632">
        <v>1279</v>
      </c>
      <c r="N176" s="632"/>
      <c r="O176" s="632">
        <f>SUM(L176:N176)</f>
        <v>1279</v>
      </c>
    </row>
    <row r="177" spans="1:15" s="631" customFormat="1" x14ac:dyDescent="0.25">
      <c r="A177" s="634"/>
      <c r="B177" s="625" t="s">
        <v>178</v>
      </c>
      <c r="C177" s="625"/>
      <c r="D177" s="625"/>
      <c r="E177" s="625"/>
      <c r="F177" s="625"/>
      <c r="G177" s="625"/>
      <c r="H177" s="625"/>
      <c r="I177" s="625"/>
      <c r="J177" s="632"/>
      <c r="K177" s="632"/>
      <c r="L177" s="632"/>
      <c r="M177" s="632"/>
      <c r="N177" s="632"/>
      <c r="O177" s="632"/>
    </row>
    <row r="178" spans="1:15" s="631" customFormat="1" x14ac:dyDescent="0.25">
      <c r="A178" s="634"/>
      <c r="B178" s="852" t="s">
        <v>1110</v>
      </c>
      <c r="C178" s="625"/>
      <c r="D178" s="625"/>
      <c r="E178" s="625"/>
      <c r="F178" s="625"/>
      <c r="G178" s="625"/>
      <c r="H178" s="625"/>
      <c r="I178" s="625"/>
      <c r="J178" s="852">
        <f t="shared" ref="J178:J182" si="100">SUM(C178+E178+F178+H178)</f>
        <v>0</v>
      </c>
      <c r="K178" s="852">
        <f t="shared" ref="K178:K182" si="101">SUM(D178+G178+I178)</f>
        <v>0</v>
      </c>
      <c r="L178" s="852">
        <f t="shared" ref="L178:L182" si="102">SUM(J178:K178)</f>
        <v>0</v>
      </c>
      <c r="M178" s="852">
        <v>64</v>
      </c>
      <c r="N178" s="852"/>
      <c r="O178" s="852">
        <f t="shared" ref="O178:O182" si="103">SUM(L178:N178)</f>
        <v>64</v>
      </c>
    </row>
    <row r="179" spans="1:15" s="631" customFormat="1" x14ac:dyDescent="0.25">
      <c r="A179" s="634"/>
      <c r="B179" s="852" t="s">
        <v>942</v>
      </c>
      <c r="C179" s="852"/>
      <c r="D179" s="625"/>
      <c r="E179" s="625"/>
      <c r="F179" s="625"/>
      <c r="G179" s="625"/>
      <c r="H179" s="625"/>
      <c r="I179" s="625"/>
      <c r="J179" s="852">
        <f t="shared" si="100"/>
        <v>0</v>
      </c>
      <c r="K179" s="852">
        <f t="shared" si="101"/>
        <v>0</v>
      </c>
      <c r="L179" s="852">
        <f t="shared" si="102"/>
        <v>0</v>
      </c>
      <c r="M179" s="852">
        <v>2928</v>
      </c>
      <c r="N179" s="852"/>
      <c r="O179" s="852">
        <f t="shared" si="103"/>
        <v>2928</v>
      </c>
    </row>
    <row r="180" spans="1:15" s="631" customFormat="1" ht="31.5" x14ac:dyDescent="0.25">
      <c r="A180" s="634"/>
      <c r="B180" s="852" t="s">
        <v>941</v>
      </c>
      <c r="C180" s="852"/>
      <c r="D180" s="625"/>
      <c r="E180" s="625"/>
      <c r="F180" s="625"/>
      <c r="G180" s="625"/>
      <c r="H180" s="625"/>
      <c r="I180" s="625"/>
      <c r="J180" s="852">
        <f t="shared" si="100"/>
        <v>0</v>
      </c>
      <c r="K180" s="852">
        <f t="shared" si="101"/>
        <v>0</v>
      </c>
      <c r="L180" s="852">
        <f t="shared" si="102"/>
        <v>0</v>
      </c>
      <c r="M180" s="852">
        <v>1030</v>
      </c>
      <c r="N180" s="852"/>
      <c r="O180" s="852">
        <f t="shared" si="103"/>
        <v>1030</v>
      </c>
    </row>
    <row r="181" spans="1:15" x14ac:dyDescent="0.25">
      <c r="A181" s="634"/>
      <c r="B181" s="625" t="s">
        <v>179</v>
      </c>
      <c r="C181" s="625"/>
      <c r="D181" s="625"/>
      <c r="E181" s="625"/>
      <c r="F181" s="625"/>
      <c r="G181" s="625"/>
      <c r="H181" s="625"/>
      <c r="I181" s="625"/>
      <c r="J181" s="852"/>
      <c r="K181" s="852"/>
      <c r="L181" s="852"/>
      <c r="M181" s="852"/>
      <c r="N181" s="852"/>
      <c r="O181" s="852"/>
    </row>
    <row r="182" spans="1:15" ht="16.5" thickBot="1" x14ac:dyDescent="0.3">
      <c r="A182" s="634"/>
      <c r="B182" s="637" t="s">
        <v>1111</v>
      </c>
      <c r="C182" s="625"/>
      <c r="D182" s="625"/>
      <c r="E182" s="625"/>
      <c r="F182" s="625"/>
      <c r="G182" s="625"/>
      <c r="H182" s="625"/>
      <c r="I182" s="625"/>
      <c r="J182" s="852">
        <f t="shared" si="100"/>
        <v>0</v>
      </c>
      <c r="K182" s="852">
        <f t="shared" si="101"/>
        <v>0</v>
      </c>
      <c r="L182" s="852">
        <f t="shared" si="102"/>
        <v>0</v>
      </c>
      <c r="M182" s="852">
        <v>809</v>
      </c>
      <c r="N182" s="852"/>
      <c r="O182" s="852">
        <f t="shared" si="103"/>
        <v>809</v>
      </c>
    </row>
    <row r="183" spans="1:15" ht="17.25" thickTop="1" thickBot="1" x14ac:dyDescent="0.3">
      <c r="A183" s="620"/>
      <c r="B183" s="619" t="s">
        <v>736</v>
      </c>
      <c r="C183" s="619">
        <f>+C174+C178+C179+C180+C182</f>
        <v>10189</v>
      </c>
      <c r="D183" s="619">
        <f t="shared" ref="D183:O183" si="104">+D174+D178+D179+D180+D182</f>
        <v>0</v>
      </c>
      <c r="E183" s="619">
        <f t="shared" si="104"/>
        <v>0</v>
      </c>
      <c r="F183" s="619">
        <f t="shared" si="104"/>
        <v>7959</v>
      </c>
      <c r="G183" s="619">
        <f t="shared" si="104"/>
        <v>0</v>
      </c>
      <c r="H183" s="619">
        <f t="shared" si="104"/>
        <v>0</v>
      </c>
      <c r="I183" s="619">
        <f t="shared" si="104"/>
        <v>0</v>
      </c>
      <c r="J183" s="619">
        <f t="shared" si="104"/>
        <v>18148</v>
      </c>
      <c r="K183" s="619">
        <f t="shared" si="104"/>
        <v>0</v>
      </c>
      <c r="L183" s="619">
        <f t="shared" si="104"/>
        <v>18148</v>
      </c>
      <c r="M183" s="619">
        <f t="shared" si="104"/>
        <v>202916</v>
      </c>
      <c r="N183" s="619">
        <f t="shared" si="104"/>
        <v>2288</v>
      </c>
      <c r="O183" s="619">
        <f t="shared" si="104"/>
        <v>223352</v>
      </c>
    </row>
    <row r="184" spans="1:15" ht="17.25" thickTop="1" thickBot="1" x14ac:dyDescent="0.3">
      <c r="A184" s="620"/>
      <c r="B184" s="619" t="s">
        <v>735</v>
      </c>
      <c r="C184" s="619">
        <f>+C175+C178+C179+C180</f>
        <v>10189</v>
      </c>
      <c r="D184" s="619">
        <f t="shared" ref="D184:O184" si="105">+D175+D178+D179+D180</f>
        <v>0</v>
      </c>
      <c r="E184" s="619">
        <f t="shared" si="105"/>
        <v>0</v>
      </c>
      <c r="F184" s="619">
        <f t="shared" si="105"/>
        <v>7959</v>
      </c>
      <c r="G184" s="619">
        <f t="shared" si="105"/>
        <v>0</v>
      </c>
      <c r="H184" s="619">
        <f t="shared" si="105"/>
        <v>0</v>
      </c>
      <c r="I184" s="619">
        <f t="shared" si="105"/>
        <v>0</v>
      </c>
      <c r="J184" s="619">
        <f t="shared" si="105"/>
        <v>18148</v>
      </c>
      <c r="K184" s="619">
        <f t="shared" si="105"/>
        <v>0</v>
      </c>
      <c r="L184" s="619">
        <f t="shared" si="105"/>
        <v>18148</v>
      </c>
      <c r="M184" s="619">
        <f t="shared" si="105"/>
        <v>200828</v>
      </c>
      <c r="N184" s="619">
        <f t="shared" si="105"/>
        <v>2288</v>
      </c>
      <c r="O184" s="619">
        <f t="shared" si="105"/>
        <v>221264</v>
      </c>
    </row>
    <row r="185" spans="1:15" ht="17.25" thickTop="1" thickBot="1" x14ac:dyDescent="0.3">
      <c r="A185" s="620"/>
      <c r="B185" s="619" t="s">
        <v>734</v>
      </c>
      <c r="C185" s="619">
        <f>+C176+C182</f>
        <v>0</v>
      </c>
      <c r="D185" s="619">
        <f t="shared" ref="D185:O185" si="106">+D176+D182</f>
        <v>0</v>
      </c>
      <c r="E185" s="619">
        <f t="shared" si="106"/>
        <v>0</v>
      </c>
      <c r="F185" s="619">
        <f t="shared" si="106"/>
        <v>0</v>
      </c>
      <c r="G185" s="619">
        <f t="shared" si="106"/>
        <v>0</v>
      </c>
      <c r="H185" s="619">
        <f t="shared" si="106"/>
        <v>0</v>
      </c>
      <c r="I185" s="619">
        <f t="shared" si="106"/>
        <v>0</v>
      </c>
      <c r="J185" s="619">
        <f t="shared" si="106"/>
        <v>0</v>
      </c>
      <c r="K185" s="619">
        <f t="shared" si="106"/>
        <v>0</v>
      </c>
      <c r="L185" s="619">
        <f t="shared" si="106"/>
        <v>0</v>
      </c>
      <c r="M185" s="619">
        <f t="shared" si="106"/>
        <v>2088</v>
      </c>
      <c r="N185" s="619">
        <f t="shared" si="106"/>
        <v>0</v>
      </c>
      <c r="O185" s="619">
        <f t="shared" si="106"/>
        <v>2088</v>
      </c>
    </row>
    <row r="186" spans="1:15" s="631" customFormat="1" ht="16.5" thickTop="1" x14ac:dyDescent="0.25">
      <c r="A186" s="630" t="s">
        <v>6</v>
      </c>
      <c r="B186" s="628" t="s">
        <v>809</v>
      </c>
      <c r="C186" s="628"/>
      <c r="D186" s="628"/>
      <c r="E186" s="628"/>
      <c r="F186" s="628"/>
      <c r="G186" s="628"/>
      <c r="H186" s="628"/>
      <c r="I186" s="628"/>
      <c r="J186" s="648"/>
      <c r="K186" s="628"/>
      <c r="L186" s="628"/>
      <c r="M186" s="628"/>
      <c r="N186" s="628"/>
      <c r="O186" s="628"/>
    </row>
    <row r="187" spans="1:15" s="631" customFormat="1" x14ac:dyDescent="0.25">
      <c r="A187" s="630"/>
      <c r="B187" s="628" t="s">
        <v>653</v>
      </c>
      <c r="C187" s="628">
        <v>12122</v>
      </c>
      <c r="D187" s="628"/>
      <c r="E187" s="628"/>
      <c r="F187" s="628">
        <v>10556</v>
      </c>
      <c r="G187" s="628"/>
      <c r="H187" s="628"/>
      <c r="I187" s="628"/>
      <c r="J187" s="641">
        <f>SUM(C187+E187+F187+H187)</f>
        <v>22678</v>
      </c>
      <c r="K187" s="624">
        <f>SUM(D187+G187+I187)</f>
        <v>0</v>
      </c>
      <c r="L187" s="624">
        <f>SUM(J187:K187)</f>
        <v>22678</v>
      </c>
      <c r="M187" s="624">
        <v>221974</v>
      </c>
      <c r="N187" s="624">
        <v>1115</v>
      </c>
      <c r="O187" s="624">
        <f>SUM(L187:N187)</f>
        <v>245767</v>
      </c>
    </row>
    <row r="188" spans="1:15" x14ac:dyDescent="0.25">
      <c r="A188" s="633"/>
      <c r="B188" s="625" t="s">
        <v>738</v>
      </c>
      <c r="C188" s="625">
        <v>12122</v>
      </c>
      <c r="D188" s="625"/>
      <c r="E188" s="625"/>
      <c r="F188" s="625">
        <v>10556</v>
      </c>
      <c r="G188" s="625"/>
      <c r="H188" s="625"/>
      <c r="I188" s="625"/>
      <c r="J188" s="643">
        <f>SUM(C188+E188+F188+H188)</f>
        <v>22678</v>
      </c>
      <c r="K188" s="632">
        <f>SUM(D188+G188+I188)</f>
        <v>0</v>
      </c>
      <c r="L188" s="632">
        <f>SUM(J188:K188)</f>
        <v>22678</v>
      </c>
      <c r="M188" s="632">
        <v>220536</v>
      </c>
      <c r="N188" s="632">
        <v>1115</v>
      </c>
      <c r="O188" s="632">
        <f>SUM(L188:N188)</f>
        <v>244329</v>
      </c>
    </row>
    <row r="189" spans="1:15" s="631" customFormat="1" x14ac:dyDescent="0.25">
      <c r="A189" s="633"/>
      <c r="B189" s="625" t="s">
        <v>737</v>
      </c>
      <c r="C189" s="625"/>
      <c r="D189" s="625"/>
      <c r="E189" s="625"/>
      <c r="F189" s="625"/>
      <c r="G189" s="625"/>
      <c r="H189" s="625"/>
      <c r="I189" s="625"/>
      <c r="J189" s="643">
        <f>SUM(C189+E189+F189+H189)</f>
        <v>0</v>
      </c>
      <c r="K189" s="632">
        <f>SUM(D189+G189+I189)</f>
        <v>0</v>
      </c>
      <c r="L189" s="632">
        <f>SUM(J189:K189)</f>
        <v>0</v>
      </c>
      <c r="M189" s="632">
        <v>1438</v>
      </c>
      <c r="N189" s="632"/>
      <c r="O189" s="632">
        <f>SUM(L189:N189)</f>
        <v>1438</v>
      </c>
    </row>
    <row r="190" spans="1:15" x14ac:dyDescent="0.25">
      <c r="A190" s="633"/>
      <c r="B190" s="625" t="s">
        <v>178</v>
      </c>
      <c r="C190" s="625"/>
      <c r="D190" s="625"/>
      <c r="E190" s="625"/>
      <c r="F190" s="625"/>
      <c r="G190" s="625"/>
      <c r="H190" s="625"/>
      <c r="I190" s="625"/>
      <c r="J190" s="643"/>
      <c r="K190" s="632"/>
      <c r="L190" s="632"/>
      <c r="M190" s="632"/>
      <c r="N190" s="632"/>
      <c r="O190" s="632"/>
    </row>
    <row r="191" spans="1:15" x14ac:dyDescent="0.25">
      <c r="A191" s="633"/>
      <c r="B191" s="852" t="s">
        <v>1110</v>
      </c>
      <c r="C191" s="625"/>
      <c r="D191" s="625"/>
      <c r="E191" s="625"/>
      <c r="F191" s="625"/>
      <c r="G191" s="625"/>
      <c r="H191" s="625"/>
      <c r="I191" s="625"/>
      <c r="J191" s="854">
        <f t="shared" ref="J191:J194" si="107">SUM(C191+E191+F191+H191)</f>
        <v>0</v>
      </c>
      <c r="K191" s="852">
        <f t="shared" ref="K191:K194" si="108">SUM(D191+G191+I191)</f>
        <v>0</v>
      </c>
      <c r="L191" s="852">
        <f t="shared" ref="L191:L194" si="109">SUM(J191:K191)</f>
        <v>0</v>
      </c>
      <c r="M191" s="852">
        <v>122</v>
      </c>
      <c r="N191" s="852"/>
      <c r="O191" s="852">
        <f t="shared" ref="O191:O194" si="110">SUM(L191:N191)</f>
        <v>122</v>
      </c>
    </row>
    <row r="192" spans="1:15" ht="31.5" x14ac:dyDescent="0.25">
      <c r="A192" s="633"/>
      <c r="B192" s="852" t="s">
        <v>941</v>
      </c>
      <c r="C192" s="852"/>
      <c r="D192" s="625"/>
      <c r="E192" s="625"/>
      <c r="F192" s="625"/>
      <c r="G192" s="625"/>
      <c r="H192" s="625"/>
      <c r="I192" s="625"/>
      <c r="J192" s="854">
        <f t="shared" si="107"/>
        <v>0</v>
      </c>
      <c r="K192" s="852">
        <f t="shared" si="108"/>
        <v>0</v>
      </c>
      <c r="L192" s="852">
        <f t="shared" si="109"/>
        <v>0</v>
      </c>
      <c r="M192" s="852">
        <v>429</v>
      </c>
      <c r="N192" s="852"/>
      <c r="O192" s="852">
        <f t="shared" si="110"/>
        <v>429</v>
      </c>
    </row>
    <row r="193" spans="1:15" x14ac:dyDescent="0.25">
      <c r="A193" s="633"/>
      <c r="B193" s="625" t="s">
        <v>179</v>
      </c>
      <c r="C193" s="625"/>
      <c r="D193" s="625"/>
      <c r="E193" s="625"/>
      <c r="F193" s="625"/>
      <c r="G193" s="625"/>
      <c r="H193" s="625"/>
      <c r="I193" s="625"/>
      <c r="J193" s="854"/>
      <c r="K193" s="852"/>
      <c r="L193" s="852"/>
      <c r="M193" s="852"/>
      <c r="N193" s="852"/>
      <c r="O193" s="852"/>
    </row>
    <row r="194" spans="1:15" s="631" customFormat="1" ht="16.5" thickBot="1" x14ac:dyDescent="0.3">
      <c r="A194" s="633"/>
      <c r="B194" s="637" t="s">
        <v>1111</v>
      </c>
      <c r="C194" s="625"/>
      <c r="D194" s="625"/>
      <c r="E194" s="625"/>
      <c r="F194" s="625"/>
      <c r="G194" s="625"/>
      <c r="H194" s="625"/>
      <c r="I194" s="625"/>
      <c r="J194" s="854">
        <f t="shared" si="107"/>
        <v>0</v>
      </c>
      <c r="K194" s="852">
        <f t="shared" si="108"/>
        <v>0</v>
      </c>
      <c r="L194" s="852">
        <f t="shared" si="109"/>
        <v>0</v>
      </c>
      <c r="M194" s="852">
        <v>819</v>
      </c>
      <c r="N194" s="852"/>
      <c r="O194" s="852">
        <f t="shared" si="110"/>
        <v>819</v>
      </c>
    </row>
    <row r="195" spans="1:15" ht="17.25" thickTop="1" thickBot="1" x14ac:dyDescent="0.3">
      <c r="A195" s="620"/>
      <c r="B195" s="619" t="s">
        <v>736</v>
      </c>
      <c r="C195" s="619">
        <f>+C187+C191+C192+C194</f>
        <v>12122</v>
      </c>
      <c r="D195" s="619">
        <f t="shared" ref="D195:O195" si="111">+D187+D191+D192+D194</f>
        <v>0</v>
      </c>
      <c r="E195" s="619">
        <f t="shared" si="111"/>
        <v>0</v>
      </c>
      <c r="F195" s="619">
        <f t="shared" si="111"/>
        <v>10556</v>
      </c>
      <c r="G195" s="619">
        <f t="shared" si="111"/>
        <v>0</v>
      </c>
      <c r="H195" s="619">
        <f t="shared" si="111"/>
        <v>0</v>
      </c>
      <c r="I195" s="619">
        <f t="shared" si="111"/>
        <v>0</v>
      </c>
      <c r="J195" s="619">
        <f t="shared" si="111"/>
        <v>22678</v>
      </c>
      <c r="K195" s="619">
        <f t="shared" si="111"/>
        <v>0</v>
      </c>
      <c r="L195" s="619">
        <f t="shared" si="111"/>
        <v>22678</v>
      </c>
      <c r="M195" s="619">
        <f t="shared" si="111"/>
        <v>223344</v>
      </c>
      <c r="N195" s="619">
        <f t="shared" si="111"/>
        <v>1115</v>
      </c>
      <c r="O195" s="619">
        <f t="shared" si="111"/>
        <v>247137</v>
      </c>
    </row>
    <row r="196" spans="1:15" s="631" customFormat="1" ht="17.25" thickTop="1" thickBot="1" x14ac:dyDescent="0.3">
      <c r="A196" s="620"/>
      <c r="B196" s="619" t="s">
        <v>735</v>
      </c>
      <c r="C196" s="619">
        <f>+C188+C191+C192</f>
        <v>12122</v>
      </c>
      <c r="D196" s="619">
        <f t="shared" ref="D196:O196" si="112">+D188+D191+D192</f>
        <v>0</v>
      </c>
      <c r="E196" s="619">
        <f t="shared" si="112"/>
        <v>0</v>
      </c>
      <c r="F196" s="619">
        <f t="shared" si="112"/>
        <v>10556</v>
      </c>
      <c r="G196" s="619">
        <f t="shared" si="112"/>
        <v>0</v>
      </c>
      <c r="H196" s="619">
        <f t="shared" si="112"/>
        <v>0</v>
      </c>
      <c r="I196" s="619">
        <f t="shared" si="112"/>
        <v>0</v>
      </c>
      <c r="J196" s="619">
        <f t="shared" si="112"/>
        <v>22678</v>
      </c>
      <c r="K196" s="619">
        <f t="shared" si="112"/>
        <v>0</v>
      </c>
      <c r="L196" s="619">
        <f t="shared" si="112"/>
        <v>22678</v>
      </c>
      <c r="M196" s="619">
        <f t="shared" si="112"/>
        <v>221087</v>
      </c>
      <c r="N196" s="619">
        <f t="shared" si="112"/>
        <v>1115</v>
      </c>
      <c r="O196" s="619">
        <f t="shared" si="112"/>
        <v>244880</v>
      </c>
    </row>
    <row r="197" spans="1:15" ht="17.25" thickTop="1" thickBot="1" x14ac:dyDescent="0.3">
      <c r="A197" s="620"/>
      <c r="B197" s="619" t="s">
        <v>734</v>
      </c>
      <c r="C197" s="619">
        <f>+C189+C194</f>
        <v>0</v>
      </c>
      <c r="D197" s="619">
        <f t="shared" ref="D197:O197" si="113">+D189+D194</f>
        <v>0</v>
      </c>
      <c r="E197" s="619">
        <f t="shared" si="113"/>
        <v>0</v>
      </c>
      <c r="F197" s="619">
        <f t="shared" si="113"/>
        <v>0</v>
      </c>
      <c r="G197" s="619">
        <f t="shared" si="113"/>
        <v>0</v>
      </c>
      <c r="H197" s="619">
        <f t="shared" si="113"/>
        <v>0</v>
      </c>
      <c r="I197" s="619">
        <f t="shared" si="113"/>
        <v>0</v>
      </c>
      <c r="J197" s="619">
        <f t="shared" si="113"/>
        <v>0</v>
      </c>
      <c r="K197" s="619">
        <f t="shared" si="113"/>
        <v>0</v>
      </c>
      <c r="L197" s="619">
        <f t="shared" si="113"/>
        <v>0</v>
      </c>
      <c r="M197" s="619">
        <f t="shared" si="113"/>
        <v>2257</v>
      </c>
      <c r="N197" s="619">
        <f t="shared" si="113"/>
        <v>0</v>
      </c>
      <c r="O197" s="619">
        <f t="shared" si="113"/>
        <v>2257</v>
      </c>
    </row>
    <row r="198" spans="1:15" ht="16.5" thickTop="1" x14ac:dyDescent="0.25">
      <c r="A198" s="626" t="s">
        <v>7</v>
      </c>
      <c r="B198" s="628" t="s">
        <v>758</v>
      </c>
      <c r="C198" s="628"/>
      <c r="D198" s="628"/>
      <c r="E198" s="628"/>
      <c r="F198" s="628"/>
      <c r="G198" s="628"/>
      <c r="H198" s="628"/>
      <c r="I198" s="628"/>
      <c r="J198" s="628"/>
      <c r="K198" s="628"/>
      <c r="L198" s="628"/>
      <c r="M198" s="628"/>
      <c r="N198" s="628"/>
      <c r="O198" s="628"/>
    </row>
    <row r="199" spans="1:15" x14ac:dyDescent="0.25">
      <c r="A199" s="626"/>
      <c r="B199" s="624" t="s">
        <v>1114</v>
      </c>
      <c r="C199" s="624">
        <v>4538</v>
      </c>
      <c r="D199" s="624"/>
      <c r="E199" s="624"/>
      <c r="F199" s="624">
        <v>1518</v>
      </c>
      <c r="G199" s="624"/>
      <c r="H199" s="624"/>
      <c r="I199" s="624"/>
      <c r="J199" s="624">
        <f>SUM(C199+E199+F199+H199)</f>
        <v>6056</v>
      </c>
      <c r="K199" s="624">
        <f>SUM(D199+G199+I199)</f>
        <v>0</v>
      </c>
      <c r="L199" s="624">
        <f>SUM(J199:K199)</f>
        <v>6056</v>
      </c>
      <c r="M199" s="624">
        <v>68943</v>
      </c>
      <c r="N199" s="624">
        <v>228</v>
      </c>
      <c r="O199" s="624">
        <f>SUM(L199:N199)</f>
        <v>75227</v>
      </c>
    </row>
    <row r="200" spans="1:15" x14ac:dyDescent="0.25">
      <c r="A200" s="634"/>
      <c r="B200" s="625" t="s">
        <v>738</v>
      </c>
      <c r="C200" s="625">
        <v>4538</v>
      </c>
      <c r="D200" s="625"/>
      <c r="E200" s="625"/>
      <c r="F200" s="625">
        <v>1518</v>
      </c>
      <c r="G200" s="625"/>
      <c r="H200" s="625"/>
      <c r="I200" s="625"/>
      <c r="J200" s="632">
        <f>SUM(C200+E200+F200+H200)</f>
        <v>6056</v>
      </c>
      <c r="K200" s="632">
        <f>SUM(D200+G200+I200)</f>
        <v>0</v>
      </c>
      <c r="L200" s="632">
        <f>SUM(J200:K200)</f>
        <v>6056</v>
      </c>
      <c r="M200" s="632">
        <v>68439</v>
      </c>
      <c r="N200" s="632">
        <v>228</v>
      </c>
      <c r="O200" s="632">
        <f>SUM(L200:N200)</f>
        <v>74723</v>
      </c>
    </row>
    <row r="201" spans="1:15" x14ac:dyDescent="0.25">
      <c r="A201" s="634"/>
      <c r="B201" s="625" t="s">
        <v>737</v>
      </c>
      <c r="C201" s="625"/>
      <c r="D201" s="625"/>
      <c r="E201" s="625"/>
      <c r="F201" s="625"/>
      <c r="G201" s="625"/>
      <c r="H201" s="625"/>
      <c r="I201" s="625"/>
      <c r="J201" s="632">
        <f>SUM(C201+E201+F201+H201)</f>
        <v>0</v>
      </c>
      <c r="K201" s="632">
        <f>SUM(D201+G201+I201)</f>
        <v>0</v>
      </c>
      <c r="L201" s="632">
        <f>SUM(J201:K201)</f>
        <v>0</v>
      </c>
      <c r="M201" s="632">
        <v>504</v>
      </c>
      <c r="N201" s="632"/>
      <c r="O201" s="632">
        <f>SUM(L201:N201)</f>
        <v>504</v>
      </c>
    </row>
    <row r="202" spans="1:15" s="631" customFormat="1" x14ac:dyDescent="0.25">
      <c r="A202" s="634"/>
      <c r="B202" s="625" t="s">
        <v>178</v>
      </c>
      <c r="C202" s="625"/>
      <c r="D202" s="625"/>
      <c r="E202" s="625"/>
      <c r="F202" s="625"/>
      <c r="G202" s="625"/>
      <c r="H202" s="625"/>
      <c r="I202" s="625"/>
      <c r="J202" s="632"/>
      <c r="K202" s="632"/>
      <c r="L202" s="632"/>
      <c r="M202" s="632"/>
      <c r="N202" s="632"/>
      <c r="O202" s="632"/>
    </row>
    <row r="203" spans="1:15" s="631" customFormat="1" x14ac:dyDescent="0.25">
      <c r="A203" s="634"/>
      <c r="B203" s="852" t="s">
        <v>1110</v>
      </c>
      <c r="C203" s="625"/>
      <c r="D203" s="625"/>
      <c r="E203" s="625"/>
      <c r="F203" s="625"/>
      <c r="G203" s="625"/>
      <c r="H203" s="625"/>
      <c r="I203" s="625"/>
      <c r="J203" s="852">
        <f t="shared" ref="J203:J205" si="114">SUM(C203+E203+F203+H203)</f>
        <v>0</v>
      </c>
      <c r="K203" s="852">
        <f t="shared" ref="K203:K205" si="115">SUM(D203+G203+I203)</f>
        <v>0</v>
      </c>
      <c r="L203" s="852">
        <f t="shared" ref="L203:L205" si="116">SUM(J203:K203)</f>
        <v>0</v>
      </c>
      <c r="M203" s="852">
        <v>39</v>
      </c>
      <c r="N203" s="852"/>
      <c r="O203" s="852">
        <f t="shared" ref="O203:O205" si="117">SUM(L203:N203)</f>
        <v>39</v>
      </c>
    </row>
    <row r="204" spans="1:15" s="631" customFormat="1" x14ac:dyDescent="0.25">
      <c r="A204" s="634"/>
      <c r="B204" s="625" t="s">
        <v>179</v>
      </c>
      <c r="C204" s="625"/>
      <c r="D204" s="625"/>
      <c r="E204" s="625"/>
      <c r="F204" s="625"/>
      <c r="G204" s="625"/>
      <c r="H204" s="625"/>
      <c r="I204" s="625"/>
      <c r="J204" s="852"/>
      <c r="K204" s="852"/>
      <c r="L204" s="852"/>
      <c r="M204" s="852"/>
      <c r="N204" s="852"/>
      <c r="O204" s="852"/>
    </row>
    <row r="205" spans="1:15" s="631" customFormat="1" ht="16.5" thickBot="1" x14ac:dyDescent="0.3">
      <c r="A205" s="634"/>
      <c r="B205" s="637" t="s">
        <v>1111</v>
      </c>
      <c r="C205" s="625"/>
      <c r="D205" s="625"/>
      <c r="E205" s="625"/>
      <c r="F205" s="625"/>
      <c r="G205" s="625"/>
      <c r="H205" s="625"/>
      <c r="I205" s="625"/>
      <c r="J205" s="852">
        <f t="shared" si="114"/>
        <v>0</v>
      </c>
      <c r="K205" s="852">
        <f t="shared" si="115"/>
        <v>0</v>
      </c>
      <c r="L205" s="852">
        <f t="shared" si="116"/>
        <v>0</v>
      </c>
      <c r="M205" s="852">
        <v>293</v>
      </c>
      <c r="N205" s="852"/>
      <c r="O205" s="852">
        <f t="shared" si="117"/>
        <v>293</v>
      </c>
    </row>
    <row r="206" spans="1:15" s="631" customFormat="1" ht="17.25" thickTop="1" thickBot="1" x14ac:dyDescent="0.3">
      <c r="A206" s="620"/>
      <c r="B206" s="619" t="s">
        <v>736</v>
      </c>
      <c r="C206" s="619">
        <f>+C199+C203+C205</f>
        <v>4538</v>
      </c>
      <c r="D206" s="619">
        <f t="shared" ref="D206:O206" si="118">+D199+D203+D205</f>
        <v>0</v>
      </c>
      <c r="E206" s="619">
        <f t="shared" si="118"/>
        <v>0</v>
      </c>
      <c r="F206" s="619">
        <f t="shared" si="118"/>
        <v>1518</v>
      </c>
      <c r="G206" s="619">
        <f t="shared" si="118"/>
        <v>0</v>
      </c>
      <c r="H206" s="619">
        <f t="shared" si="118"/>
        <v>0</v>
      </c>
      <c r="I206" s="619">
        <f t="shared" si="118"/>
        <v>0</v>
      </c>
      <c r="J206" s="619">
        <f t="shared" si="118"/>
        <v>6056</v>
      </c>
      <c r="K206" s="619">
        <f t="shared" si="118"/>
        <v>0</v>
      </c>
      <c r="L206" s="619">
        <f t="shared" si="118"/>
        <v>6056</v>
      </c>
      <c r="M206" s="619">
        <f t="shared" si="118"/>
        <v>69275</v>
      </c>
      <c r="N206" s="619">
        <f t="shared" si="118"/>
        <v>228</v>
      </c>
      <c r="O206" s="619">
        <f t="shared" si="118"/>
        <v>75559</v>
      </c>
    </row>
    <row r="207" spans="1:15" s="631" customFormat="1" ht="17.25" thickTop="1" thickBot="1" x14ac:dyDescent="0.3">
      <c r="A207" s="620"/>
      <c r="B207" s="619" t="s">
        <v>735</v>
      </c>
      <c r="C207" s="619">
        <f>+C200+C203</f>
        <v>4538</v>
      </c>
      <c r="D207" s="619">
        <f t="shared" ref="D207:O207" si="119">+D200+D203</f>
        <v>0</v>
      </c>
      <c r="E207" s="619">
        <f t="shared" si="119"/>
        <v>0</v>
      </c>
      <c r="F207" s="619">
        <f t="shared" si="119"/>
        <v>1518</v>
      </c>
      <c r="G207" s="619">
        <f t="shared" si="119"/>
        <v>0</v>
      </c>
      <c r="H207" s="619">
        <f t="shared" si="119"/>
        <v>0</v>
      </c>
      <c r="I207" s="619">
        <f t="shared" si="119"/>
        <v>0</v>
      </c>
      <c r="J207" s="619">
        <f t="shared" si="119"/>
        <v>6056</v>
      </c>
      <c r="K207" s="619">
        <f t="shared" si="119"/>
        <v>0</v>
      </c>
      <c r="L207" s="619">
        <f t="shared" si="119"/>
        <v>6056</v>
      </c>
      <c r="M207" s="619">
        <f t="shared" si="119"/>
        <v>68478</v>
      </c>
      <c r="N207" s="619">
        <f t="shared" si="119"/>
        <v>228</v>
      </c>
      <c r="O207" s="619">
        <f t="shared" si="119"/>
        <v>74762</v>
      </c>
    </row>
    <row r="208" spans="1:15" s="631" customFormat="1" ht="17.25" thickTop="1" thickBot="1" x14ac:dyDescent="0.3">
      <c r="A208" s="620"/>
      <c r="B208" s="619" t="s">
        <v>734</v>
      </c>
      <c r="C208" s="619">
        <f>+C201+C205</f>
        <v>0</v>
      </c>
      <c r="D208" s="619">
        <f t="shared" ref="D208:O208" si="120">+D201+D205</f>
        <v>0</v>
      </c>
      <c r="E208" s="619">
        <f t="shared" si="120"/>
        <v>0</v>
      </c>
      <c r="F208" s="619">
        <f t="shared" si="120"/>
        <v>0</v>
      </c>
      <c r="G208" s="619">
        <f t="shared" si="120"/>
        <v>0</v>
      </c>
      <c r="H208" s="619">
        <f t="shared" si="120"/>
        <v>0</v>
      </c>
      <c r="I208" s="619">
        <f t="shared" si="120"/>
        <v>0</v>
      </c>
      <c r="J208" s="619">
        <f t="shared" si="120"/>
        <v>0</v>
      </c>
      <c r="K208" s="619">
        <f t="shared" si="120"/>
        <v>0</v>
      </c>
      <c r="L208" s="619">
        <f t="shared" si="120"/>
        <v>0</v>
      </c>
      <c r="M208" s="619">
        <f t="shared" si="120"/>
        <v>797</v>
      </c>
      <c r="N208" s="619">
        <f t="shared" si="120"/>
        <v>0</v>
      </c>
      <c r="O208" s="619">
        <f t="shared" si="120"/>
        <v>797</v>
      </c>
    </row>
    <row r="209" spans="1:15" s="631" customFormat="1" ht="16.5" thickTop="1" x14ac:dyDescent="0.25">
      <c r="A209" s="630" t="s">
        <v>8</v>
      </c>
      <c r="B209" s="628" t="s">
        <v>810</v>
      </c>
      <c r="C209" s="628"/>
      <c r="D209" s="628"/>
      <c r="E209" s="628"/>
      <c r="F209" s="628"/>
      <c r="G209" s="628"/>
      <c r="H209" s="628"/>
      <c r="I209" s="628"/>
      <c r="J209" s="628"/>
      <c r="K209" s="628"/>
      <c r="L209" s="628"/>
      <c r="M209" s="628"/>
      <c r="N209" s="628"/>
      <c r="O209" s="628"/>
    </row>
    <row r="210" spans="1:15" s="631" customFormat="1" x14ac:dyDescent="0.25">
      <c r="A210" s="630"/>
      <c r="B210" s="628" t="s">
        <v>653</v>
      </c>
      <c r="C210" s="628">
        <v>14412</v>
      </c>
      <c r="D210" s="628"/>
      <c r="E210" s="628"/>
      <c r="F210" s="628">
        <v>6946</v>
      </c>
      <c r="G210" s="628"/>
      <c r="H210" s="628"/>
      <c r="I210" s="628"/>
      <c r="J210" s="624">
        <f>SUM(C210+E210+F210+H210)</f>
        <v>21358</v>
      </c>
      <c r="K210" s="624">
        <f>SUM(D210+G210+I210)</f>
        <v>0</v>
      </c>
      <c r="L210" s="624">
        <f>SUM(J210:K210)</f>
        <v>21358</v>
      </c>
      <c r="M210" s="624">
        <v>235380</v>
      </c>
      <c r="N210" s="624">
        <v>1045</v>
      </c>
      <c r="O210" s="624">
        <f>SUM(L210:N210)</f>
        <v>257783</v>
      </c>
    </row>
    <row r="211" spans="1:15" s="631" customFormat="1" x14ac:dyDescent="0.25">
      <c r="A211" s="633"/>
      <c r="B211" s="629" t="s">
        <v>738</v>
      </c>
      <c r="C211" s="629">
        <v>14412</v>
      </c>
      <c r="D211" s="629"/>
      <c r="E211" s="629"/>
      <c r="F211" s="629">
        <v>6946</v>
      </c>
      <c r="G211" s="629"/>
      <c r="H211" s="629"/>
      <c r="I211" s="629"/>
      <c r="J211" s="645">
        <f>SUM(C211+E211+F211+H211)</f>
        <v>21358</v>
      </c>
      <c r="K211" s="645">
        <f>SUM(D211+G211+I211)</f>
        <v>0</v>
      </c>
      <c r="L211" s="645">
        <f>SUM(J211:K211)</f>
        <v>21358</v>
      </c>
      <c r="M211" s="645">
        <v>233776</v>
      </c>
      <c r="N211" s="645">
        <v>1045</v>
      </c>
      <c r="O211" s="645">
        <f>SUM(L211:N211)</f>
        <v>256179</v>
      </c>
    </row>
    <row r="212" spans="1:15" x14ac:dyDescent="0.25">
      <c r="A212" s="633"/>
      <c r="B212" s="629" t="s">
        <v>737</v>
      </c>
      <c r="C212" s="629"/>
      <c r="D212" s="629"/>
      <c r="E212" s="629"/>
      <c r="F212" s="629"/>
      <c r="G212" s="629"/>
      <c r="H212" s="629"/>
      <c r="I212" s="629"/>
      <c r="J212" s="645">
        <f>SUM(C212+E212+F212+H212)</f>
        <v>0</v>
      </c>
      <c r="K212" s="645">
        <f>SUM(D212+G212+I212)</f>
        <v>0</v>
      </c>
      <c r="L212" s="645">
        <f>SUM(J212:K212)</f>
        <v>0</v>
      </c>
      <c r="M212" s="645">
        <v>1604</v>
      </c>
      <c r="N212" s="645"/>
      <c r="O212" s="645">
        <f>SUM(L212:N212)</f>
        <v>1604</v>
      </c>
    </row>
    <row r="213" spans="1:15" x14ac:dyDescent="0.25">
      <c r="A213" s="634"/>
      <c r="B213" s="625" t="s">
        <v>178</v>
      </c>
      <c r="C213" s="625"/>
      <c r="D213" s="625"/>
      <c r="E213" s="625"/>
      <c r="F213" s="625"/>
      <c r="G213" s="625"/>
      <c r="H213" s="625"/>
      <c r="I213" s="625"/>
      <c r="J213" s="632"/>
      <c r="K213" s="632"/>
      <c r="L213" s="632"/>
      <c r="M213" s="632"/>
      <c r="N213" s="632"/>
      <c r="O213" s="632"/>
    </row>
    <row r="214" spans="1:15" x14ac:dyDescent="0.25">
      <c r="A214" s="634"/>
      <c r="B214" s="852" t="s">
        <v>1110</v>
      </c>
      <c r="C214" s="625"/>
      <c r="D214" s="625"/>
      <c r="E214" s="625"/>
      <c r="F214" s="625"/>
      <c r="G214" s="625"/>
      <c r="H214" s="625"/>
      <c r="I214" s="625"/>
      <c r="J214" s="852">
        <f t="shared" ref="J214:J216" si="121">SUM(C214+E214+F214+H214)</f>
        <v>0</v>
      </c>
      <c r="K214" s="852">
        <f t="shared" ref="K214:K216" si="122">SUM(D214+G214+I214)</f>
        <v>0</v>
      </c>
      <c r="L214" s="852">
        <f t="shared" ref="L214:L216" si="123">SUM(J214:K214)</f>
        <v>0</v>
      </c>
      <c r="M214" s="852">
        <v>27</v>
      </c>
      <c r="N214" s="852"/>
      <c r="O214" s="852">
        <f t="shared" ref="O214:O216" si="124">SUM(L214:N214)</f>
        <v>27</v>
      </c>
    </row>
    <row r="215" spans="1:15" x14ac:dyDescent="0.25">
      <c r="A215" s="634"/>
      <c r="B215" s="625" t="s">
        <v>179</v>
      </c>
      <c r="C215" s="625"/>
      <c r="D215" s="625"/>
      <c r="E215" s="625"/>
      <c r="F215" s="625"/>
      <c r="G215" s="625"/>
      <c r="H215" s="625"/>
      <c r="I215" s="625"/>
      <c r="J215" s="852"/>
      <c r="K215" s="852"/>
      <c r="L215" s="852"/>
      <c r="M215" s="852"/>
      <c r="N215" s="852"/>
      <c r="O215" s="852"/>
    </row>
    <row r="216" spans="1:15" ht="16.5" thickBot="1" x14ac:dyDescent="0.3">
      <c r="A216" s="634"/>
      <c r="B216" s="637" t="s">
        <v>1111</v>
      </c>
      <c r="C216" s="625"/>
      <c r="D216" s="625"/>
      <c r="E216" s="625"/>
      <c r="F216" s="625"/>
      <c r="G216" s="625"/>
      <c r="H216" s="625"/>
      <c r="I216" s="625"/>
      <c r="J216" s="852">
        <f t="shared" si="121"/>
        <v>0</v>
      </c>
      <c r="K216" s="852">
        <f t="shared" si="122"/>
        <v>0</v>
      </c>
      <c r="L216" s="852">
        <f t="shared" si="123"/>
        <v>0</v>
      </c>
      <c r="M216" s="852">
        <v>1039</v>
      </c>
      <c r="N216" s="852"/>
      <c r="O216" s="852">
        <f t="shared" si="124"/>
        <v>1039</v>
      </c>
    </row>
    <row r="217" spans="1:15" s="631" customFormat="1" ht="17.25" thickTop="1" thickBot="1" x14ac:dyDescent="0.3">
      <c r="A217" s="620"/>
      <c r="B217" s="619" t="s">
        <v>736</v>
      </c>
      <c r="C217" s="619">
        <f>+C210+C214+C216</f>
        <v>14412</v>
      </c>
      <c r="D217" s="619">
        <f t="shared" ref="D217:O217" si="125">+D210+D214+D216</f>
        <v>0</v>
      </c>
      <c r="E217" s="619">
        <f t="shared" si="125"/>
        <v>0</v>
      </c>
      <c r="F217" s="619">
        <f t="shared" si="125"/>
        <v>6946</v>
      </c>
      <c r="G217" s="619">
        <f t="shared" si="125"/>
        <v>0</v>
      </c>
      <c r="H217" s="619">
        <f t="shared" si="125"/>
        <v>0</v>
      </c>
      <c r="I217" s="619">
        <f t="shared" si="125"/>
        <v>0</v>
      </c>
      <c r="J217" s="619">
        <f t="shared" si="125"/>
        <v>21358</v>
      </c>
      <c r="K217" s="619">
        <f t="shared" si="125"/>
        <v>0</v>
      </c>
      <c r="L217" s="619">
        <f t="shared" si="125"/>
        <v>21358</v>
      </c>
      <c r="M217" s="619">
        <f t="shared" si="125"/>
        <v>236446</v>
      </c>
      <c r="N217" s="619">
        <f t="shared" si="125"/>
        <v>1045</v>
      </c>
      <c r="O217" s="619">
        <f t="shared" si="125"/>
        <v>258849</v>
      </c>
    </row>
    <row r="218" spans="1:15" s="631" customFormat="1" ht="17.25" thickTop="1" thickBot="1" x14ac:dyDescent="0.3">
      <c r="A218" s="620"/>
      <c r="B218" s="619" t="s">
        <v>735</v>
      </c>
      <c r="C218" s="619">
        <f>+C211+C214</f>
        <v>14412</v>
      </c>
      <c r="D218" s="619">
        <f t="shared" ref="D218:O218" si="126">+D211+D214</f>
        <v>0</v>
      </c>
      <c r="E218" s="619">
        <f t="shared" si="126"/>
        <v>0</v>
      </c>
      <c r="F218" s="619">
        <f t="shared" si="126"/>
        <v>6946</v>
      </c>
      <c r="G218" s="619">
        <f t="shared" si="126"/>
        <v>0</v>
      </c>
      <c r="H218" s="619">
        <f t="shared" si="126"/>
        <v>0</v>
      </c>
      <c r="I218" s="619">
        <f t="shared" si="126"/>
        <v>0</v>
      </c>
      <c r="J218" s="619">
        <f t="shared" si="126"/>
        <v>21358</v>
      </c>
      <c r="K218" s="619">
        <f t="shared" si="126"/>
        <v>0</v>
      </c>
      <c r="L218" s="619">
        <f t="shared" si="126"/>
        <v>21358</v>
      </c>
      <c r="M218" s="619">
        <f t="shared" si="126"/>
        <v>233803</v>
      </c>
      <c r="N218" s="619">
        <f t="shared" si="126"/>
        <v>1045</v>
      </c>
      <c r="O218" s="619">
        <f t="shared" si="126"/>
        <v>256206</v>
      </c>
    </row>
    <row r="219" spans="1:15" s="631" customFormat="1" ht="17.25" thickTop="1" thickBot="1" x14ac:dyDescent="0.3">
      <c r="A219" s="620"/>
      <c r="B219" s="619" t="s">
        <v>734</v>
      </c>
      <c r="C219" s="619">
        <f>+C212+C216</f>
        <v>0</v>
      </c>
      <c r="D219" s="619">
        <f t="shared" ref="D219:O219" si="127">+D212+D216</f>
        <v>0</v>
      </c>
      <c r="E219" s="619">
        <f t="shared" si="127"/>
        <v>0</v>
      </c>
      <c r="F219" s="619">
        <f t="shared" si="127"/>
        <v>0</v>
      </c>
      <c r="G219" s="619">
        <f t="shared" si="127"/>
        <v>0</v>
      </c>
      <c r="H219" s="619">
        <f t="shared" si="127"/>
        <v>0</v>
      </c>
      <c r="I219" s="619">
        <f t="shared" si="127"/>
        <v>0</v>
      </c>
      <c r="J219" s="619">
        <f t="shared" si="127"/>
        <v>0</v>
      </c>
      <c r="K219" s="619">
        <f t="shared" si="127"/>
        <v>0</v>
      </c>
      <c r="L219" s="619">
        <f t="shared" si="127"/>
        <v>0</v>
      </c>
      <c r="M219" s="619">
        <f t="shared" si="127"/>
        <v>2643</v>
      </c>
      <c r="N219" s="619">
        <f t="shared" si="127"/>
        <v>0</v>
      </c>
      <c r="O219" s="619">
        <f t="shared" si="127"/>
        <v>2643</v>
      </c>
    </row>
    <row r="220" spans="1:15" s="631" customFormat="1" ht="16.5" thickTop="1" x14ac:dyDescent="0.25">
      <c r="A220" s="626" t="s">
        <v>9</v>
      </c>
      <c r="B220" s="628" t="s">
        <v>756</v>
      </c>
      <c r="C220" s="628"/>
      <c r="D220" s="628"/>
      <c r="E220" s="628"/>
      <c r="F220" s="628"/>
      <c r="G220" s="628"/>
      <c r="H220" s="628"/>
      <c r="I220" s="628"/>
      <c r="J220" s="628"/>
      <c r="K220" s="628"/>
      <c r="L220" s="628"/>
      <c r="M220" s="628"/>
      <c r="N220" s="628"/>
      <c r="O220" s="628"/>
    </row>
    <row r="221" spans="1:15" s="631" customFormat="1" x14ac:dyDescent="0.25">
      <c r="A221" s="626"/>
      <c r="B221" s="624" t="s">
        <v>653</v>
      </c>
      <c r="C221" s="624">
        <v>9501</v>
      </c>
      <c r="D221" s="624"/>
      <c r="E221" s="624"/>
      <c r="F221" s="624">
        <v>10675</v>
      </c>
      <c r="G221" s="624"/>
      <c r="H221" s="624"/>
      <c r="I221" s="624"/>
      <c r="J221" s="624">
        <f>SUM(C221+E221+F221+H221)</f>
        <v>20176</v>
      </c>
      <c r="K221" s="624">
        <f>SUM(D221+G221+I221)</f>
        <v>0</v>
      </c>
      <c r="L221" s="624">
        <f>SUM(J221:K221)</f>
        <v>20176</v>
      </c>
      <c r="M221" s="624">
        <v>166393</v>
      </c>
      <c r="N221" s="624">
        <v>641</v>
      </c>
      <c r="O221" s="624">
        <f>SUM(L221:N221)</f>
        <v>187210</v>
      </c>
    </row>
    <row r="222" spans="1:15" s="631" customFormat="1" x14ac:dyDescent="0.25">
      <c r="A222" s="634"/>
      <c r="B222" s="625" t="s">
        <v>738</v>
      </c>
      <c r="C222" s="625">
        <v>9501</v>
      </c>
      <c r="D222" s="625"/>
      <c r="E222" s="625"/>
      <c r="F222" s="625">
        <v>10675</v>
      </c>
      <c r="G222" s="625"/>
      <c r="H222" s="625"/>
      <c r="I222" s="642"/>
      <c r="J222" s="643">
        <f>SUM(C222+E222+F222+H222)</f>
        <v>20176</v>
      </c>
      <c r="K222" s="643">
        <f>SUM(D222+G222+I222)</f>
        <v>0</v>
      </c>
      <c r="L222" s="632">
        <f>SUM(J222:K222)</f>
        <v>20176</v>
      </c>
      <c r="M222" s="632">
        <v>165283</v>
      </c>
      <c r="N222" s="632">
        <v>641</v>
      </c>
      <c r="O222" s="632">
        <f>SUM(L222:N222)</f>
        <v>186100</v>
      </c>
    </row>
    <row r="223" spans="1:15" s="631" customFormat="1" x14ac:dyDescent="0.25">
      <c r="A223" s="634"/>
      <c r="B223" s="625" t="s">
        <v>737</v>
      </c>
      <c r="C223" s="625"/>
      <c r="D223" s="625"/>
      <c r="E223" s="625"/>
      <c r="F223" s="625"/>
      <c r="G223" s="625"/>
      <c r="H223" s="625"/>
      <c r="I223" s="642"/>
      <c r="J223" s="642">
        <f>SUM(C223+E223+F223+H223)</f>
        <v>0</v>
      </c>
      <c r="K223" s="642">
        <f>SUM(D223+G223+I223)</f>
        <v>0</v>
      </c>
      <c r="L223" s="625">
        <f>SUM(J223:K223)</f>
        <v>0</v>
      </c>
      <c r="M223" s="625">
        <v>1110</v>
      </c>
      <c r="N223" s="625"/>
      <c r="O223" s="625">
        <f>SUM(L223:N223)</f>
        <v>1110</v>
      </c>
    </row>
    <row r="224" spans="1:15" s="631" customFormat="1" x14ac:dyDescent="0.25">
      <c r="A224" s="634"/>
      <c r="B224" s="625" t="s">
        <v>178</v>
      </c>
      <c r="C224" s="625"/>
      <c r="D224" s="625"/>
      <c r="E224" s="625"/>
      <c r="F224" s="625"/>
      <c r="G224" s="625"/>
      <c r="H224" s="625"/>
      <c r="I224" s="642"/>
      <c r="J224" s="643"/>
      <c r="K224" s="643"/>
      <c r="L224" s="632"/>
      <c r="M224" s="632"/>
      <c r="N224" s="632"/>
      <c r="O224" s="632"/>
    </row>
    <row r="225" spans="1:15" s="631" customFormat="1" x14ac:dyDescent="0.25">
      <c r="A225" s="634"/>
      <c r="B225" s="852" t="s">
        <v>1110</v>
      </c>
      <c r="C225" s="625"/>
      <c r="D225" s="625"/>
      <c r="E225" s="625"/>
      <c r="F225" s="625"/>
      <c r="G225" s="625"/>
      <c r="H225" s="625"/>
      <c r="I225" s="642"/>
      <c r="J225" s="854">
        <f t="shared" ref="J225:J228" si="128">SUM(C225+E225+F225+H225)</f>
        <v>0</v>
      </c>
      <c r="K225" s="854">
        <f t="shared" ref="K225:K228" si="129">SUM(D225+G225+I225)</f>
        <v>0</v>
      </c>
      <c r="L225" s="852">
        <f t="shared" ref="L225:L228" si="130">SUM(J225:K225)</f>
        <v>0</v>
      </c>
      <c r="M225" s="852">
        <v>47</v>
      </c>
      <c r="N225" s="852"/>
      <c r="O225" s="852">
        <f t="shared" ref="O225:O228" si="131">SUM(L225:N225)</f>
        <v>47</v>
      </c>
    </row>
    <row r="226" spans="1:15" s="631" customFormat="1" x14ac:dyDescent="0.25">
      <c r="A226" s="634"/>
      <c r="B226" s="625" t="s">
        <v>179</v>
      </c>
      <c r="C226" s="625"/>
      <c r="D226" s="625"/>
      <c r="E226" s="625"/>
      <c r="F226" s="625"/>
      <c r="G226" s="625"/>
      <c r="H226" s="625"/>
      <c r="I226" s="642"/>
      <c r="J226" s="854"/>
      <c r="K226" s="854"/>
      <c r="L226" s="852"/>
      <c r="M226" s="852"/>
      <c r="N226" s="852"/>
      <c r="O226" s="852"/>
    </row>
    <row r="227" spans="1:15" s="631" customFormat="1" x14ac:dyDescent="0.25">
      <c r="A227" s="634"/>
      <c r="B227" s="637" t="s">
        <v>1111</v>
      </c>
      <c r="C227" s="625"/>
      <c r="D227" s="625"/>
      <c r="E227" s="625"/>
      <c r="F227" s="625"/>
      <c r="G227" s="625"/>
      <c r="H227" s="625"/>
      <c r="I227" s="642"/>
      <c r="J227" s="854">
        <f t="shared" si="128"/>
        <v>0</v>
      </c>
      <c r="K227" s="854">
        <f t="shared" si="129"/>
        <v>0</v>
      </c>
      <c r="L227" s="852">
        <f t="shared" si="130"/>
        <v>0</v>
      </c>
      <c r="M227" s="852">
        <v>697</v>
      </c>
      <c r="N227" s="852"/>
      <c r="O227" s="852">
        <f t="shared" si="131"/>
        <v>697</v>
      </c>
    </row>
    <row r="228" spans="1:15" ht="63.75" thickBot="1" x14ac:dyDescent="0.3">
      <c r="A228" s="634"/>
      <c r="B228" s="852" t="s">
        <v>1115</v>
      </c>
      <c r="C228" s="625"/>
      <c r="D228" s="625"/>
      <c r="E228" s="625"/>
      <c r="F228" s="625"/>
      <c r="G228" s="625"/>
      <c r="H228" s="625"/>
      <c r="I228" s="642"/>
      <c r="J228" s="854">
        <f t="shared" si="128"/>
        <v>0</v>
      </c>
      <c r="K228" s="854">
        <f t="shared" si="129"/>
        <v>0</v>
      </c>
      <c r="L228" s="852">
        <f t="shared" si="130"/>
        <v>0</v>
      </c>
      <c r="M228" s="852">
        <v>50</v>
      </c>
      <c r="N228" s="852"/>
      <c r="O228" s="852">
        <f t="shared" si="131"/>
        <v>50</v>
      </c>
    </row>
    <row r="229" spans="1:15" ht="17.25" thickTop="1" thickBot="1" x14ac:dyDescent="0.3">
      <c r="A229" s="620"/>
      <c r="B229" s="619" t="s">
        <v>736</v>
      </c>
      <c r="C229" s="619">
        <f>+C221+C225+C227+C228</f>
        <v>9501</v>
      </c>
      <c r="D229" s="619">
        <f t="shared" ref="D229:O229" si="132">+D221+D225+D227+D228</f>
        <v>0</v>
      </c>
      <c r="E229" s="619">
        <f t="shared" si="132"/>
        <v>0</v>
      </c>
      <c r="F229" s="619">
        <f t="shared" si="132"/>
        <v>10675</v>
      </c>
      <c r="G229" s="619">
        <f t="shared" si="132"/>
        <v>0</v>
      </c>
      <c r="H229" s="619">
        <f t="shared" si="132"/>
        <v>0</v>
      </c>
      <c r="I229" s="619">
        <f t="shared" si="132"/>
        <v>0</v>
      </c>
      <c r="J229" s="619">
        <f t="shared" si="132"/>
        <v>20176</v>
      </c>
      <c r="K229" s="619">
        <f t="shared" si="132"/>
        <v>0</v>
      </c>
      <c r="L229" s="619">
        <f t="shared" si="132"/>
        <v>20176</v>
      </c>
      <c r="M229" s="619">
        <f t="shared" si="132"/>
        <v>167187</v>
      </c>
      <c r="N229" s="619">
        <f t="shared" si="132"/>
        <v>641</v>
      </c>
      <c r="O229" s="619">
        <f t="shared" si="132"/>
        <v>188004</v>
      </c>
    </row>
    <row r="230" spans="1:15" ht="17.25" thickTop="1" thickBot="1" x14ac:dyDescent="0.3">
      <c r="A230" s="620"/>
      <c r="B230" s="619" t="s">
        <v>735</v>
      </c>
      <c r="C230" s="619">
        <f>+C222+C225</f>
        <v>9501</v>
      </c>
      <c r="D230" s="619">
        <f t="shared" ref="D230:O230" si="133">+D222+D225</f>
        <v>0</v>
      </c>
      <c r="E230" s="619">
        <f t="shared" si="133"/>
        <v>0</v>
      </c>
      <c r="F230" s="619">
        <f t="shared" si="133"/>
        <v>10675</v>
      </c>
      <c r="G230" s="619">
        <f t="shared" si="133"/>
        <v>0</v>
      </c>
      <c r="H230" s="619">
        <f t="shared" si="133"/>
        <v>0</v>
      </c>
      <c r="I230" s="619">
        <f t="shared" si="133"/>
        <v>0</v>
      </c>
      <c r="J230" s="619">
        <f t="shared" si="133"/>
        <v>20176</v>
      </c>
      <c r="K230" s="619">
        <f t="shared" si="133"/>
        <v>0</v>
      </c>
      <c r="L230" s="619">
        <f t="shared" si="133"/>
        <v>20176</v>
      </c>
      <c r="M230" s="619">
        <f t="shared" si="133"/>
        <v>165330</v>
      </c>
      <c r="N230" s="619">
        <f t="shared" si="133"/>
        <v>641</v>
      </c>
      <c r="O230" s="619">
        <f t="shared" si="133"/>
        <v>186147</v>
      </c>
    </row>
    <row r="231" spans="1:15" ht="17.25" thickTop="1" thickBot="1" x14ac:dyDescent="0.3">
      <c r="A231" s="620"/>
      <c r="B231" s="619" t="s">
        <v>734</v>
      </c>
      <c r="C231" s="619">
        <f t="shared" ref="C231:O231" si="134">+C223+C227+C228</f>
        <v>0</v>
      </c>
      <c r="D231" s="619">
        <f t="shared" si="134"/>
        <v>0</v>
      </c>
      <c r="E231" s="619">
        <f t="shared" si="134"/>
        <v>0</v>
      </c>
      <c r="F231" s="619">
        <f t="shared" si="134"/>
        <v>0</v>
      </c>
      <c r="G231" s="619">
        <f t="shared" si="134"/>
        <v>0</v>
      </c>
      <c r="H231" s="619">
        <f t="shared" si="134"/>
        <v>0</v>
      </c>
      <c r="I231" s="619">
        <f t="shared" si="134"/>
        <v>0</v>
      </c>
      <c r="J231" s="619">
        <f t="shared" si="134"/>
        <v>0</v>
      </c>
      <c r="K231" s="619">
        <f t="shared" si="134"/>
        <v>0</v>
      </c>
      <c r="L231" s="619">
        <f t="shared" si="134"/>
        <v>0</v>
      </c>
      <c r="M231" s="619">
        <f t="shared" si="134"/>
        <v>1857</v>
      </c>
      <c r="N231" s="619">
        <f t="shared" si="134"/>
        <v>0</v>
      </c>
      <c r="O231" s="619">
        <f t="shared" si="134"/>
        <v>1857</v>
      </c>
    </row>
    <row r="232" spans="1:15" ht="16.5" thickTop="1" x14ac:dyDescent="0.25">
      <c r="A232" s="630" t="s">
        <v>10</v>
      </c>
      <c r="B232" s="647" t="s">
        <v>755</v>
      </c>
      <c r="C232" s="647"/>
      <c r="D232" s="647"/>
      <c r="E232" s="647"/>
      <c r="F232" s="647"/>
      <c r="G232" s="647"/>
      <c r="H232" s="647"/>
      <c r="I232" s="647"/>
      <c r="J232" s="647"/>
      <c r="K232" s="647"/>
      <c r="L232" s="647"/>
      <c r="M232" s="647"/>
      <c r="N232" s="647"/>
      <c r="O232" s="647"/>
    </row>
    <row r="233" spans="1:15" s="631" customFormat="1" x14ac:dyDescent="0.25">
      <c r="A233" s="626"/>
      <c r="B233" s="628" t="s">
        <v>653</v>
      </c>
      <c r="C233" s="628">
        <v>14453</v>
      </c>
      <c r="D233" s="628"/>
      <c r="E233" s="628"/>
      <c r="F233" s="628">
        <v>5856</v>
      </c>
      <c r="G233" s="628"/>
      <c r="H233" s="628"/>
      <c r="I233" s="628"/>
      <c r="J233" s="641">
        <f>SUM(C233+E233+F233+H233)</f>
        <v>20309</v>
      </c>
      <c r="K233" s="641">
        <f>SUM(D233+G233+I233)</f>
        <v>0</v>
      </c>
      <c r="L233" s="624">
        <f>SUM(J233:K233)</f>
        <v>20309</v>
      </c>
      <c r="M233" s="624">
        <v>193158</v>
      </c>
      <c r="N233" s="641">
        <v>394</v>
      </c>
      <c r="O233" s="624">
        <f>SUM(L233:N233)</f>
        <v>213861</v>
      </c>
    </row>
    <row r="234" spans="1:15" s="631" customFormat="1" x14ac:dyDescent="0.25">
      <c r="A234" s="633"/>
      <c r="B234" s="629" t="s">
        <v>738</v>
      </c>
      <c r="C234" s="629">
        <v>14453</v>
      </c>
      <c r="D234" s="629"/>
      <c r="E234" s="629"/>
      <c r="F234" s="629">
        <v>5856</v>
      </c>
      <c r="G234" s="629"/>
      <c r="H234" s="629"/>
      <c r="I234" s="644"/>
      <c r="J234" s="646">
        <f>SUM(C234+E234+F234+H234)</f>
        <v>20309</v>
      </c>
      <c r="K234" s="646">
        <f>SUM(D234+G234+I234)</f>
        <v>0</v>
      </c>
      <c r="L234" s="645">
        <f>SUM(J234:K234)</f>
        <v>20309</v>
      </c>
      <c r="M234" s="645">
        <v>191849</v>
      </c>
      <c r="N234" s="646">
        <v>394</v>
      </c>
      <c r="O234" s="645">
        <f>SUM(L234:N234)</f>
        <v>212552</v>
      </c>
    </row>
    <row r="235" spans="1:15" s="631" customFormat="1" x14ac:dyDescent="0.25">
      <c r="A235" s="633"/>
      <c r="B235" s="629" t="s">
        <v>737</v>
      </c>
      <c r="C235" s="629"/>
      <c r="D235" s="629"/>
      <c r="E235" s="629"/>
      <c r="F235" s="629"/>
      <c r="G235" s="629"/>
      <c r="H235" s="629"/>
      <c r="I235" s="644"/>
      <c r="J235" s="644">
        <f>SUM(C235+E235+F235+H235)</f>
        <v>0</v>
      </c>
      <c r="K235" s="644">
        <f>SUM(D235+G235+I235)</f>
        <v>0</v>
      </c>
      <c r="L235" s="629">
        <f>SUM(J235:K235)</f>
        <v>0</v>
      </c>
      <c r="M235" s="629">
        <v>1309</v>
      </c>
      <c r="N235" s="644"/>
      <c r="O235" s="629">
        <f>SUM(L235:N235)</f>
        <v>1309</v>
      </c>
    </row>
    <row r="236" spans="1:15" s="631" customFormat="1" x14ac:dyDescent="0.25">
      <c r="A236" s="633"/>
      <c r="B236" s="629" t="s">
        <v>178</v>
      </c>
      <c r="C236" s="629"/>
      <c r="D236" s="629"/>
      <c r="E236" s="629"/>
      <c r="F236" s="629"/>
      <c r="G236" s="629"/>
      <c r="H236" s="629"/>
      <c r="I236" s="644"/>
      <c r="J236" s="646"/>
      <c r="K236" s="646"/>
      <c r="L236" s="645"/>
      <c r="M236" s="645"/>
      <c r="N236" s="646"/>
      <c r="O236" s="645"/>
    </row>
    <row r="237" spans="1:15" s="631" customFormat="1" x14ac:dyDescent="0.25">
      <c r="A237" s="633"/>
      <c r="B237" s="852" t="s">
        <v>1110</v>
      </c>
      <c r="C237" s="629"/>
      <c r="D237" s="629"/>
      <c r="E237" s="629"/>
      <c r="F237" s="629"/>
      <c r="G237" s="629"/>
      <c r="H237" s="629"/>
      <c r="I237" s="644"/>
      <c r="J237" s="855">
        <f t="shared" ref="J237:J239" si="135">SUM(C237+E237+F237+H237)</f>
        <v>0</v>
      </c>
      <c r="K237" s="855">
        <f t="shared" ref="K237:K239" si="136">SUM(D237+G237+I237)</f>
        <v>0</v>
      </c>
      <c r="L237" s="853">
        <f t="shared" ref="L237:L239" si="137">SUM(J237:K237)</f>
        <v>0</v>
      </c>
      <c r="M237" s="853">
        <v>71</v>
      </c>
      <c r="N237" s="855"/>
      <c r="O237" s="853">
        <f t="shared" ref="O237:O239" si="138">SUM(L237:N237)</f>
        <v>71</v>
      </c>
    </row>
    <row r="238" spans="1:15" s="631" customFormat="1" x14ac:dyDescent="0.25">
      <c r="A238" s="633"/>
      <c r="B238" s="629" t="s">
        <v>179</v>
      </c>
      <c r="C238" s="629"/>
      <c r="D238" s="629"/>
      <c r="E238" s="629"/>
      <c r="F238" s="629"/>
      <c r="G238" s="629"/>
      <c r="H238" s="629"/>
      <c r="I238" s="644"/>
      <c r="J238" s="855"/>
      <c r="K238" s="855"/>
      <c r="L238" s="853"/>
      <c r="M238" s="853"/>
      <c r="N238" s="855"/>
      <c r="O238" s="853"/>
    </row>
    <row r="239" spans="1:15" s="631" customFormat="1" ht="16.5" thickBot="1" x14ac:dyDescent="0.3">
      <c r="A239" s="633"/>
      <c r="B239" s="637" t="s">
        <v>1111</v>
      </c>
      <c r="C239" s="629"/>
      <c r="D239" s="629"/>
      <c r="E239" s="629"/>
      <c r="F239" s="629"/>
      <c r="G239" s="629"/>
      <c r="H239" s="629"/>
      <c r="I239" s="644"/>
      <c r="J239" s="855">
        <f t="shared" si="135"/>
        <v>0</v>
      </c>
      <c r="K239" s="855">
        <f t="shared" si="136"/>
        <v>0</v>
      </c>
      <c r="L239" s="853">
        <f t="shared" si="137"/>
        <v>0</v>
      </c>
      <c r="M239" s="853">
        <v>850</v>
      </c>
      <c r="N239" s="855"/>
      <c r="O239" s="853">
        <f t="shared" si="138"/>
        <v>850</v>
      </c>
    </row>
    <row r="240" spans="1:15" s="631" customFormat="1" ht="17.25" thickTop="1" thickBot="1" x14ac:dyDescent="0.3">
      <c r="A240" s="620"/>
      <c r="B240" s="619" t="s">
        <v>736</v>
      </c>
      <c r="C240" s="619">
        <f>+C233+C237+C239</f>
        <v>14453</v>
      </c>
      <c r="D240" s="619">
        <f t="shared" ref="D240:O240" si="139">+D233+D237+D239</f>
        <v>0</v>
      </c>
      <c r="E240" s="619">
        <f t="shared" si="139"/>
        <v>0</v>
      </c>
      <c r="F240" s="619">
        <f t="shared" si="139"/>
        <v>5856</v>
      </c>
      <c r="G240" s="619">
        <f t="shared" si="139"/>
        <v>0</v>
      </c>
      <c r="H240" s="619">
        <f t="shared" si="139"/>
        <v>0</v>
      </c>
      <c r="I240" s="619">
        <f t="shared" si="139"/>
        <v>0</v>
      </c>
      <c r="J240" s="619">
        <f t="shared" si="139"/>
        <v>20309</v>
      </c>
      <c r="K240" s="619">
        <f t="shared" si="139"/>
        <v>0</v>
      </c>
      <c r="L240" s="619">
        <f t="shared" si="139"/>
        <v>20309</v>
      </c>
      <c r="M240" s="619">
        <f t="shared" si="139"/>
        <v>194079</v>
      </c>
      <c r="N240" s="619">
        <f t="shared" si="139"/>
        <v>394</v>
      </c>
      <c r="O240" s="619">
        <f t="shared" si="139"/>
        <v>214782</v>
      </c>
    </row>
    <row r="241" spans="1:15" s="631" customFormat="1" ht="17.25" thickTop="1" thickBot="1" x14ac:dyDescent="0.3">
      <c r="A241" s="620"/>
      <c r="B241" s="619" t="s">
        <v>735</v>
      </c>
      <c r="C241" s="619">
        <f>+C234+C237</f>
        <v>14453</v>
      </c>
      <c r="D241" s="619">
        <f t="shared" ref="D241:O241" si="140">+D234+D237</f>
        <v>0</v>
      </c>
      <c r="E241" s="619">
        <f t="shared" si="140"/>
        <v>0</v>
      </c>
      <c r="F241" s="619">
        <f t="shared" si="140"/>
        <v>5856</v>
      </c>
      <c r="G241" s="619">
        <f t="shared" si="140"/>
        <v>0</v>
      </c>
      <c r="H241" s="619">
        <f t="shared" si="140"/>
        <v>0</v>
      </c>
      <c r="I241" s="619">
        <f t="shared" si="140"/>
        <v>0</v>
      </c>
      <c r="J241" s="619">
        <f t="shared" si="140"/>
        <v>20309</v>
      </c>
      <c r="K241" s="619">
        <f t="shared" si="140"/>
        <v>0</v>
      </c>
      <c r="L241" s="619">
        <f t="shared" si="140"/>
        <v>20309</v>
      </c>
      <c r="M241" s="619">
        <f t="shared" si="140"/>
        <v>191920</v>
      </c>
      <c r="N241" s="619">
        <f t="shared" si="140"/>
        <v>394</v>
      </c>
      <c r="O241" s="619">
        <f t="shared" si="140"/>
        <v>212623</v>
      </c>
    </row>
    <row r="242" spans="1:15" s="631" customFormat="1" ht="17.25" thickTop="1" thickBot="1" x14ac:dyDescent="0.3">
      <c r="A242" s="620"/>
      <c r="B242" s="619" t="s">
        <v>734</v>
      </c>
      <c r="C242" s="619">
        <f>+C235+C239</f>
        <v>0</v>
      </c>
      <c r="D242" s="619">
        <f t="shared" ref="D242:O242" si="141">+D235+D239</f>
        <v>0</v>
      </c>
      <c r="E242" s="619">
        <f t="shared" si="141"/>
        <v>0</v>
      </c>
      <c r="F242" s="619">
        <f t="shared" si="141"/>
        <v>0</v>
      </c>
      <c r="G242" s="619">
        <f t="shared" si="141"/>
        <v>0</v>
      </c>
      <c r="H242" s="619">
        <f t="shared" si="141"/>
        <v>0</v>
      </c>
      <c r="I242" s="619">
        <f t="shared" si="141"/>
        <v>0</v>
      </c>
      <c r="J242" s="619">
        <f t="shared" si="141"/>
        <v>0</v>
      </c>
      <c r="K242" s="619">
        <f t="shared" si="141"/>
        <v>0</v>
      </c>
      <c r="L242" s="619">
        <f t="shared" si="141"/>
        <v>0</v>
      </c>
      <c r="M242" s="619">
        <f t="shared" si="141"/>
        <v>2159</v>
      </c>
      <c r="N242" s="619">
        <f t="shared" si="141"/>
        <v>0</v>
      </c>
      <c r="O242" s="619">
        <f t="shared" si="141"/>
        <v>2159</v>
      </c>
    </row>
    <row r="243" spans="1:15" ht="17.25" thickTop="1" thickBot="1" x14ac:dyDescent="0.3">
      <c r="A243" s="620"/>
      <c r="B243" s="619" t="s">
        <v>754</v>
      </c>
      <c r="C243" s="619">
        <f t="shared" ref="C243:O243" si="142">SUM(C112+C123+C134+C146+C158+C170+C183+C195+C206+C217+C229+C240)</f>
        <v>135330</v>
      </c>
      <c r="D243" s="619">
        <f t="shared" si="142"/>
        <v>0</v>
      </c>
      <c r="E243" s="619">
        <f t="shared" si="142"/>
        <v>0</v>
      </c>
      <c r="F243" s="619">
        <f t="shared" si="142"/>
        <v>97318</v>
      </c>
      <c r="G243" s="619">
        <f t="shared" si="142"/>
        <v>0</v>
      </c>
      <c r="H243" s="619">
        <f t="shared" si="142"/>
        <v>0</v>
      </c>
      <c r="I243" s="619">
        <f t="shared" si="142"/>
        <v>0</v>
      </c>
      <c r="J243" s="619">
        <f t="shared" si="142"/>
        <v>232648</v>
      </c>
      <c r="K243" s="619">
        <f t="shared" si="142"/>
        <v>0</v>
      </c>
      <c r="L243" s="619">
        <f t="shared" si="142"/>
        <v>232648</v>
      </c>
      <c r="M243" s="619">
        <f t="shared" si="142"/>
        <v>2362213</v>
      </c>
      <c r="N243" s="619">
        <f t="shared" si="142"/>
        <v>14792</v>
      </c>
      <c r="O243" s="619">
        <f t="shared" si="142"/>
        <v>2609653</v>
      </c>
    </row>
    <row r="244" spans="1:15" ht="17.25" thickTop="1" thickBot="1" x14ac:dyDescent="0.3">
      <c r="A244" s="620"/>
      <c r="B244" s="619" t="s">
        <v>753</v>
      </c>
      <c r="C244" s="619">
        <f t="shared" ref="C244:O244" si="143">SUM(C29+C103+C243)</f>
        <v>556610</v>
      </c>
      <c r="D244" s="619">
        <f t="shared" si="143"/>
        <v>0</v>
      </c>
      <c r="E244" s="619">
        <f t="shared" si="143"/>
        <v>0</v>
      </c>
      <c r="F244" s="619">
        <f t="shared" si="143"/>
        <v>123541</v>
      </c>
      <c r="G244" s="619">
        <f t="shared" si="143"/>
        <v>0</v>
      </c>
      <c r="H244" s="619">
        <f t="shared" si="143"/>
        <v>0</v>
      </c>
      <c r="I244" s="619">
        <f t="shared" si="143"/>
        <v>0</v>
      </c>
      <c r="J244" s="619">
        <f t="shared" si="143"/>
        <v>680151</v>
      </c>
      <c r="K244" s="619">
        <f t="shared" si="143"/>
        <v>0</v>
      </c>
      <c r="L244" s="619">
        <f t="shared" si="143"/>
        <v>680151</v>
      </c>
      <c r="M244" s="619">
        <f t="shared" si="143"/>
        <v>3045085</v>
      </c>
      <c r="N244" s="619">
        <f t="shared" si="143"/>
        <v>94409</v>
      </c>
      <c r="O244" s="619">
        <f t="shared" si="143"/>
        <v>3819645</v>
      </c>
    </row>
    <row r="245" spans="1:15" ht="16.5" thickTop="1" x14ac:dyDescent="0.25">
      <c r="A245" s="626" t="s">
        <v>11</v>
      </c>
      <c r="B245" s="628" t="s">
        <v>681</v>
      </c>
      <c r="C245" s="628"/>
      <c r="D245" s="628"/>
      <c r="E245" s="628"/>
      <c r="F245" s="628"/>
      <c r="G245" s="628"/>
      <c r="H245" s="628"/>
      <c r="I245" s="628"/>
      <c r="J245" s="628"/>
      <c r="K245" s="628"/>
      <c r="L245" s="628"/>
      <c r="M245" s="628"/>
      <c r="N245" s="628"/>
      <c r="O245" s="628"/>
    </row>
    <row r="246" spans="1:15" x14ac:dyDescent="0.25">
      <c r="A246" s="626"/>
      <c r="B246" s="624" t="s">
        <v>653</v>
      </c>
      <c r="C246" s="624">
        <v>55675</v>
      </c>
      <c r="D246" s="624"/>
      <c r="E246" s="624"/>
      <c r="F246" s="624">
        <v>319743</v>
      </c>
      <c r="G246" s="624"/>
      <c r="H246" s="624"/>
      <c r="I246" s="624"/>
      <c r="J246" s="641">
        <f>SUM(C246+E246+F246+H246)</f>
        <v>375418</v>
      </c>
      <c r="K246" s="641">
        <f>SUM(D246+G246+I246)</f>
        <v>0</v>
      </c>
      <c r="L246" s="624">
        <f>SUM(J246:K246)</f>
        <v>375418</v>
      </c>
      <c r="M246" s="624">
        <v>618315</v>
      </c>
      <c r="N246" s="641">
        <v>7996</v>
      </c>
      <c r="O246" s="624">
        <f>SUM(L246:N246)</f>
        <v>1001729</v>
      </c>
    </row>
    <row r="247" spans="1:15" x14ac:dyDescent="0.25">
      <c r="A247" s="634"/>
      <c r="B247" s="625" t="s">
        <v>738</v>
      </c>
      <c r="C247" s="625">
        <v>55675</v>
      </c>
      <c r="D247" s="625"/>
      <c r="E247" s="625"/>
      <c r="F247" s="625">
        <v>319743</v>
      </c>
      <c r="G247" s="625"/>
      <c r="H247" s="625"/>
      <c r="I247" s="642"/>
      <c r="J247" s="643">
        <f>SUM(C247+E247+F247+H247)</f>
        <v>375418</v>
      </c>
      <c r="K247" s="643">
        <f>SUM(D247+G247+I247)</f>
        <v>0</v>
      </c>
      <c r="L247" s="632">
        <f>SUM(J247:K247)</f>
        <v>375418</v>
      </c>
      <c r="M247" s="632">
        <v>611671</v>
      </c>
      <c r="N247" s="643">
        <v>7996</v>
      </c>
      <c r="O247" s="632">
        <f>SUM(L247:N247)</f>
        <v>995085</v>
      </c>
    </row>
    <row r="248" spans="1:15" s="631" customFormat="1" x14ac:dyDescent="0.25">
      <c r="A248" s="634"/>
      <c r="B248" s="625" t="s">
        <v>737</v>
      </c>
      <c r="C248" s="625"/>
      <c r="D248" s="625"/>
      <c r="E248" s="625"/>
      <c r="F248" s="625"/>
      <c r="G248" s="625"/>
      <c r="H248" s="625"/>
      <c r="I248" s="642"/>
      <c r="J248" s="642">
        <f>SUM(C248+E248+F248+H248)</f>
        <v>0</v>
      </c>
      <c r="K248" s="642">
        <f>SUM(D248+G248+I248)</f>
        <v>0</v>
      </c>
      <c r="L248" s="625">
        <f>SUM(J248:K248)</f>
        <v>0</v>
      </c>
      <c r="M248" s="625">
        <v>6644</v>
      </c>
      <c r="N248" s="642"/>
      <c r="O248" s="625">
        <f>SUM(L248:N248)</f>
        <v>6644</v>
      </c>
    </row>
    <row r="249" spans="1:15" s="631" customFormat="1" x14ac:dyDescent="0.25">
      <c r="A249" s="634"/>
      <c r="B249" s="625" t="s">
        <v>178</v>
      </c>
      <c r="C249" s="625"/>
      <c r="D249" s="625"/>
      <c r="E249" s="625"/>
      <c r="F249" s="625"/>
      <c r="G249" s="625"/>
      <c r="H249" s="625"/>
      <c r="I249" s="642"/>
      <c r="J249" s="642"/>
      <c r="K249" s="642"/>
      <c r="L249" s="625"/>
      <c r="M249" s="632"/>
      <c r="N249" s="643"/>
      <c r="O249" s="625"/>
    </row>
    <row r="250" spans="1:15" s="631" customFormat="1" x14ac:dyDescent="0.25">
      <c r="A250" s="634"/>
      <c r="B250" s="852" t="s">
        <v>1110</v>
      </c>
      <c r="C250" s="625"/>
      <c r="D250" s="625"/>
      <c r="E250" s="625"/>
      <c r="F250" s="625"/>
      <c r="G250" s="625"/>
      <c r="H250" s="625"/>
      <c r="I250" s="642"/>
      <c r="J250" s="854">
        <f t="shared" ref="J250:J254" si="144">SUM(C250+E250+F250+H250)</f>
        <v>0</v>
      </c>
      <c r="K250" s="854">
        <f t="shared" ref="K250:K254" si="145">SUM(D250+G250+I250)</f>
        <v>0</v>
      </c>
      <c r="L250" s="852">
        <f t="shared" ref="L250:L254" si="146">SUM(J250:K250)</f>
        <v>0</v>
      </c>
      <c r="M250" s="852">
        <v>1495</v>
      </c>
      <c r="N250" s="854"/>
      <c r="O250" s="852">
        <f t="shared" ref="O250:O254" si="147">SUM(L250:N250)</f>
        <v>1495</v>
      </c>
    </row>
    <row r="251" spans="1:15" s="631" customFormat="1" ht="31.5" x14ac:dyDescent="0.25">
      <c r="A251" s="633"/>
      <c r="B251" s="853" t="s">
        <v>1112</v>
      </c>
      <c r="C251" s="853"/>
      <c r="D251" s="629"/>
      <c r="E251" s="629"/>
      <c r="F251" s="629"/>
      <c r="G251" s="629"/>
      <c r="H251" s="629"/>
      <c r="I251" s="644"/>
      <c r="J251" s="855">
        <f t="shared" si="144"/>
        <v>0</v>
      </c>
      <c r="K251" s="855">
        <f t="shared" si="145"/>
        <v>0</v>
      </c>
      <c r="L251" s="853">
        <f t="shared" si="146"/>
        <v>0</v>
      </c>
      <c r="M251" s="853">
        <v>2582</v>
      </c>
      <c r="N251" s="855"/>
      <c r="O251" s="853">
        <f t="shared" si="147"/>
        <v>2582</v>
      </c>
    </row>
    <row r="252" spans="1:15" s="631" customFormat="1" x14ac:dyDescent="0.25">
      <c r="A252" s="633"/>
      <c r="B252" s="853" t="s">
        <v>942</v>
      </c>
      <c r="C252" s="629"/>
      <c r="D252" s="629"/>
      <c r="E252" s="629"/>
      <c r="F252" s="629"/>
      <c r="G252" s="629"/>
      <c r="H252" s="629"/>
      <c r="I252" s="644"/>
      <c r="J252" s="855">
        <f t="shared" si="144"/>
        <v>0</v>
      </c>
      <c r="K252" s="855">
        <f t="shared" si="145"/>
        <v>0</v>
      </c>
      <c r="L252" s="853">
        <f t="shared" si="146"/>
        <v>0</v>
      </c>
      <c r="M252" s="853">
        <v>465</v>
      </c>
      <c r="N252" s="855"/>
      <c r="O252" s="853">
        <f t="shared" si="147"/>
        <v>465</v>
      </c>
    </row>
    <row r="253" spans="1:15" s="631" customFormat="1" x14ac:dyDescent="0.25">
      <c r="A253" s="634"/>
      <c r="B253" s="625" t="s">
        <v>179</v>
      </c>
      <c r="C253" s="625"/>
      <c r="D253" s="625"/>
      <c r="E253" s="625"/>
      <c r="F253" s="625"/>
      <c r="G253" s="625"/>
      <c r="H253" s="625"/>
      <c r="I253" s="642"/>
      <c r="J253" s="854"/>
      <c r="K253" s="854"/>
      <c r="L253" s="852"/>
      <c r="M253" s="852"/>
      <c r="N253" s="854"/>
      <c r="O253" s="852"/>
    </row>
    <row r="254" spans="1:15" s="631" customFormat="1" ht="16.5" thickBot="1" x14ac:dyDescent="0.3">
      <c r="A254" s="634"/>
      <c r="B254" s="637" t="s">
        <v>1111</v>
      </c>
      <c r="C254" s="625"/>
      <c r="D254" s="625"/>
      <c r="E254" s="625"/>
      <c r="F254" s="625"/>
      <c r="G254" s="625"/>
      <c r="H254" s="625"/>
      <c r="I254" s="642"/>
      <c r="J254" s="854">
        <f t="shared" si="144"/>
        <v>0</v>
      </c>
      <c r="K254" s="854">
        <f t="shared" si="145"/>
        <v>0</v>
      </c>
      <c r="L254" s="852">
        <f t="shared" si="146"/>
        <v>0</v>
      </c>
      <c r="M254" s="852">
        <v>4401</v>
      </c>
      <c r="N254" s="854"/>
      <c r="O254" s="852">
        <f t="shared" si="147"/>
        <v>4401</v>
      </c>
    </row>
    <row r="255" spans="1:15" s="631" customFormat="1" ht="17.25" thickTop="1" thickBot="1" x14ac:dyDescent="0.3">
      <c r="A255" s="620"/>
      <c r="B255" s="619" t="s">
        <v>736</v>
      </c>
      <c r="C255" s="619">
        <f>+C246+C250+C251+C252+C254</f>
        <v>55675</v>
      </c>
      <c r="D255" s="619">
        <f t="shared" ref="D255:O255" si="148">+D246+D250+D251+D252+D254</f>
        <v>0</v>
      </c>
      <c r="E255" s="619">
        <f t="shared" si="148"/>
        <v>0</v>
      </c>
      <c r="F255" s="619">
        <f t="shared" si="148"/>
        <v>319743</v>
      </c>
      <c r="G255" s="619">
        <f t="shared" si="148"/>
        <v>0</v>
      </c>
      <c r="H255" s="619">
        <f t="shared" si="148"/>
        <v>0</v>
      </c>
      <c r="I255" s="619">
        <f t="shared" si="148"/>
        <v>0</v>
      </c>
      <c r="J255" s="619">
        <f t="shared" si="148"/>
        <v>375418</v>
      </c>
      <c r="K255" s="619">
        <f t="shared" si="148"/>
        <v>0</v>
      </c>
      <c r="L255" s="619">
        <f t="shared" si="148"/>
        <v>375418</v>
      </c>
      <c r="M255" s="619">
        <f t="shared" si="148"/>
        <v>627258</v>
      </c>
      <c r="N255" s="619">
        <f t="shared" si="148"/>
        <v>7996</v>
      </c>
      <c r="O255" s="619">
        <f t="shared" si="148"/>
        <v>1010672</v>
      </c>
    </row>
    <row r="256" spans="1:15" s="631" customFormat="1" ht="17.25" thickTop="1" thickBot="1" x14ac:dyDescent="0.3">
      <c r="A256" s="620"/>
      <c r="B256" s="619" t="s">
        <v>735</v>
      </c>
      <c r="C256" s="619">
        <f>+C247+C250+C251+C252</f>
        <v>55675</v>
      </c>
      <c r="D256" s="619">
        <f t="shared" ref="D256:O256" si="149">+D247+D250+D251+D252</f>
        <v>0</v>
      </c>
      <c r="E256" s="619">
        <f t="shared" si="149"/>
        <v>0</v>
      </c>
      <c r="F256" s="619">
        <f t="shared" si="149"/>
        <v>319743</v>
      </c>
      <c r="G256" s="619">
        <f t="shared" si="149"/>
        <v>0</v>
      </c>
      <c r="H256" s="619">
        <f t="shared" si="149"/>
        <v>0</v>
      </c>
      <c r="I256" s="619">
        <f t="shared" si="149"/>
        <v>0</v>
      </c>
      <c r="J256" s="619">
        <f t="shared" si="149"/>
        <v>375418</v>
      </c>
      <c r="K256" s="619">
        <f t="shared" si="149"/>
        <v>0</v>
      </c>
      <c r="L256" s="619">
        <f t="shared" si="149"/>
        <v>375418</v>
      </c>
      <c r="M256" s="619">
        <f t="shared" si="149"/>
        <v>616213</v>
      </c>
      <c r="N256" s="619">
        <f t="shared" si="149"/>
        <v>7996</v>
      </c>
      <c r="O256" s="619">
        <f t="shared" si="149"/>
        <v>999627</v>
      </c>
    </row>
    <row r="257" spans="1:15" s="631" customFormat="1" ht="17.25" thickTop="1" thickBot="1" x14ac:dyDescent="0.3">
      <c r="A257" s="620"/>
      <c r="B257" s="619" t="s">
        <v>734</v>
      </c>
      <c r="C257" s="619">
        <f>+C248+C254</f>
        <v>0</v>
      </c>
      <c r="D257" s="619">
        <f t="shared" ref="D257:O257" si="150">+D248+D254</f>
        <v>0</v>
      </c>
      <c r="E257" s="619">
        <f t="shared" si="150"/>
        <v>0</v>
      </c>
      <c r="F257" s="619">
        <f t="shared" si="150"/>
        <v>0</v>
      </c>
      <c r="G257" s="619">
        <f t="shared" si="150"/>
        <v>0</v>
      </c>
      <c r="H257" s="619">
        <f t="shared" si="150"/>
        <v>0</v>
      </c>
      <c r="I257" s="619">
        <f t="shared" si="150"/>
        <v>0</v>
      </c>
      <c r="J257" s="619">
        <f t="shared" si="150"/>
        <v>0</v>
      </c>
      <c r="K257" s="619">
        <f t="shared" si="150"/>
        <v>0</v>
      </c>
      <c r="L257" s="619">
        <f t="shared" si="150"/>
        <v>0</v>
      </c>
      <c r="M257" s="619">
        <f t="shared" si="150"/>
        <v>11045</v>
      </c>
      <c r="N257" s="619">
        <f t="shared" si="150"/>
        <v>0</v>
      </c>
      <c r="O257" s="619">
        <f t="shared" si="150"/>
        <v>11045</v>
      </c>
    </row>
    <row r="258" spans="1:15" s="631" customFormat="1" ht="32.25" thickTop="1" x14ac:dyDescent="0.25">
      <c r="A258" s="626" t="s">
        <v>12</v>
      </c>
      <c r="B258" s="628" t="s">
        <v>811</v>
      </c>
      <c r="C258" s="628"/>
      <c r="D258" s="628"/>
      <c r="E258" s="628"/>
      <c r="F258" s="628"/>
      <c r="G258" s="628"/>
      <c r="H258" s="628"/>
      <c r="I258" s="628"/>
      <c r="J258" s="628"/>
      <c r="K258" s="628"/>
      <c r="L258" s="628"/>
      <c r="M258" s="628"/>
      <c r="N258" s="628"/>
      <c r="O258" s="628"/>
    </row>
    <row r="259" spans="1:15" x14ac:dyDescent="0.25">
      <c r="A259" s="626"/>
      <c r="B259" s="624" t="s">
        <v>653</v>
      </c>
      <c r="C259" s="624"/>
      <c r="D259" s="624"/>
      <c r="E259" s="624"/>
      <c r="F259" s="624">
        <v>0</v>
      </c>
      <c r="G259" s="624"/>
      <c r="H259" s="624"/>
      <c r="I259" s="624"/>
      <c r="J259" s="641">
        <f>SUM(C259+E259+F259+H259)</f>
        <v>0</v>
      </c>
      <c r="K259" s="641">
        <f>SUM(D259+G259+I259)</f>
        <v>0</v>
      </c>
      <c r="L259" s="624">
        <f>SUM(J259:K259)</f>
        <v>0</v>
      </c>
      <c r="M259" s="624">
        <v>186104</v>
      </c>
      <c r="N259" s="641"/>
      <c r="O259" s="624">
        <f>SUM(L259:N259)</f>
        <v>186104</v>
      </c>
    </row>
    <row r="260" spans="1:15" x14ac:dyDescent="0.25">
      <c r="A260" s="634"/>
      <c r="B260" s="625" t="s">
        <v>738</v>
      </c>
      <c r="C260" s="625"/>
      <c r="D260" s="625"/>
      <c r="E260" s="625"/>
      <c r="F260" s="625">
        <v>0</v>
      </c>
      <c r="G260" s="625"/>
      <c r="H260" s="625"/>
      <c r="I260" s="642"/>
      <c r="J260" s="643">
        <f>SUM(C260+E260+F260+H260)</f>
        <v>0</v>
      </c>
      <c r="K260" s="643">
        <f>SUM(D260+G260+I260)</f>
        <v>0</v>
      </c>
      <c r="L260" s="632">
        <f>SUM(J260:K260)</f>
        <v>0</v>
      </c>
      <c r="M260" s="632">
        <v>184504</v>
      </c>
      <c r="N260" s="643"/>
      <c r="O260" s="632">
        <f>SUM(L260:N260)</f>
        <v>184504</v>
      </c>
    </row>
    <row r="261" spans="1:15" x14ac:dyDescent="0.25">
      <c r="A261" s="634"/>
      <c r="B261" s="625" t="s">
        <v>737</v>
      </c>
      <c r="C261" s="625"/>
      <c r="D261" s="625"/>
      <c r="E261" s="625"/>
      <c r="F261" s="625"/>
      <c r="G261" s="625"/>
      <c r="H261" s="625"/>
      <c r="I261" s="642"/>
      <c r="J261" s="642">
        <f>SUM(C261+E261+F261+H261)</f>
        <v>0</v>
      </c>
      <c r="K261" s="642">
        <f>SUM(D261+G261+I261)</f>
        <v>0</v>
      </c>
      <c r="L261" s="625">
        <f>SUM(J261:K261)</f>
        <v>0</v>
      </c>
      <c r="M261" s="625">
        <v>1600</v>
      </c>
      <c r="N261" s="642"/>
      <c r="O261" s="625">
        <f>SUM(L261:N261)</f>
        <v>1600</v>
      </c>
    </row>
    <row r="262" spans="1:15" x14ac:dyDescent="0.25">
      <c r="A262" s="634"/>
      <c r="B262" s="625" t="s">
        <v>178</v>
      </c>
      <c r="C262" s="625"/>
      <c r="D262" s="625"/>
      <c r="E262" s="625"/>
      <c r="F262" s="625"/>
      <c r="G262" s="625"/>
      <c r="H262" s="625"/>
      <c r="I262" s="642"/>
      <c r="J262" s="643"/>
      <c r="K262" s="643"/>
      <c r="L262" s="632"/>
      <c r="M262" s="632"/>
      <c r="N262" s="643"/>
      <c r="O262" s="632"/>
    </row>
    <row r="263" spans="1:15" x14ac:dyDescent="0.25">
      <c r="A263" s="634"/>
      <c r="B263" s="852" t="s">
        <v>1110</v>
      </c>
      <c r="C263" s="625"/>
      <c r="D263" s="625"/>
      <c r="E263" s="625"/>
      <c r="F263" s="625"/>
      <c r="G263" s="625"/>
      <c r="H263" s="625"/>
      <c r="I263" s="642"/>
      <c r="J263" s="854">
        <f t="shared" ref="J263:J267" si="151">SUM(C263+E263+F263+H263)</f>
        <v>0</v>
      </c>
      <c r="K263" s="854">
        <f t="shared" ref="K263:K267" si="152">SUM(D263+G263+I263)</f>
        <v>0</v>
      </c>
      <c r="L263" s="852">
        <f t="shared" ref="L263:L267" si="153">SUM(J263:K263)</f>
        <v>0</v>
      </c>
      <c r="M263" s="852">
        <v>403</v>
      </c>
      <c r="N263" s="854"/>
      <c r="O263" s="852">
        <f t="shared" ref="O263:O267" si="154">SUM(L263:N263)</f>
        <v>403</v>
      </c>
    </row>
    <row r="264" spans="1:15" s="631" customFormat="1" ht="31.5" x14ac:dyDescent="0.25">
      <c r="A264" s="634"/>
      <c r="B264" s="852" t="s">
        <v>1112</v>
      </c>
      <c r="C264" s="625"/>
      <c r="D264" s="625"/>
      <c r="E264" s="625"/>
      <c r="F264" s="625"/>
      <c r="G264" s="625"/>
      <c r="H264" s="625"/>
      <c r="I264" s="642"/>
      <c r="J264" s="854">
        <f t="shared" si="151"/>
        <v>0</v>
      </c>
      <c r="K264" s="854">
        <f t="shared" si="152"/>
        <v>0</v>
      </c>
      <c r="L264" s="852">
        <f t="shared" si="153"/>
        <v>0</v>
      </c>
      <c r="M264" s="852">
        <v>1707</v>
      </c>
      <c r="N264" s="854"/>
      <c r="O264" s="852">
        <f t="shared" si="154"/>
        <v>1707</v>
      </c>
    </row>
    <row r="265" spans="1:15" s="631" customFormat="1" x14ac:dyDescent="0.25">
      <c r="A265" s="634"/>
      <c r="B265" s="637" t="s">
        <v>942</v>
      </c>
      <c r="C265" s="625"/>
      <c r="D265" s="625"/>
      <c r="E265" s="625"/>
      <c r="F265" s="625"/>
      <c r="G265" s="625"/>
      <c r="H265" s="625"/>
      <c r="I265" s="642"/>
      <c r="J265" s="854">
        <f t="shared" si="151"/>
        <v>0</v>
      </c>
      <c r="K265" s="854">
        <f t="shared" si="152"/>
        <v>0</v>
      </c>
      <c r="L265" s="852">
        <f t="shared" si="153"/>
        <v>0</v>
      </c>
      <c r="M265" s="852">
        <v>1393</v>
      </c>
      <c r="N265" s="854"/>
      <c r="O265" s="852">
        <f t="shared" si="154"/>
        <v>1393</v>
      </c>
    </row>
    <row r="266" spans="1:15" s="631" customFormat="1" x14ac:dyDescent="0.25">
      <c r="A266" s="634"/>
      <c r="B266" s="625" t="s">
        <v>179</v>
      </c>
      <c r="C266" s="625"/>
      <c r="D266" s="625"/>
      <c r="E266" s="625"/>
      <c r="F266" s="625"/>
      <c r="G266" s="625"/>
      <c r="H266" s="625"/>
      <c r="I266" s="642"/>
      <c r="J266" s="854"/>
      <c r="K266" s="854"/>
      <c r="L266" s="852"/>
      <c r="M266" s="852"/>
      <c r="N266" s="854"/>
      <c r="O266" s="852"/>
    </row>
    <row r="267" spans="1:15" s="631" customFormat="1" ht="16.5" thickBot="1" x14ac:dyDescent="0.3">
      <c r="A267" s="634"/>
      <c r="B267" s="637" t="s">
        <v>1111</v>
      </c>
      <c r="C267" s="625"/>
      <c r="D267" s="625"/>
      <c r="E267" s="625"/>
      <c r="F267" s="625"/>
      <c r="G267" s="625"/>
      <c r="H267" s="625"/>
      <c r="I267" s="642"/>
      <c r="J267" s="854">
        <f t="shared" si="151"/>
        <v>0</v>
      </c>
      <c r="K267" s="854">
        <f t="shared" si="152"/>
        <v>0</v>
      </c>
      <c r="L267" s="852">
        <f t="shared" si="153"/>
        <v>0</v>
      </c>
      <c r="M267" s="852">
        <v>1066</v>
      </c>
      <c r="N267" s="854"/>
      <c r="O267" s="852">
        <f t="shared" si="154"/>
        <v>1066</v>
      </c>
    </row>
    <row r="268" spans="1:15" s="631" customFormat="1" ht="17.25" thickTop="1" thickBot="1" x14ac:dyDescent="0.3">
      <c r="A268" s="620"/>
      <c r="B268" s="619" t="s">
        <v>736</v>
      </c>
      <c r="C268" s="619">
        <f>+C259+C263+C264+C265+C267</f>
        <v>0</v>
      </c>
      <c r="D268" s="619">
        <f t="shared" ref="D268:O268" si="155">+D259+D263+D264+D265+D267</f>
        <v>0</v>
      </c>
      <c r="E268" s="619">
        <f t="shared" si="155"/>
        <v>0</v>
      </c>
      <c r="F268" s="619">
        <f t="shared" si="155"/>
        <v>0</v>
      </c>
      <c r="G268" s="619">
        <f t="shared" si="155"/>
        <v>0</v>
      </c>
      <c r="H268" s="619">
        <f t="shared" si="155"/>
        <v>0</v>
      </c>
      <c r="I268" s="619">
        <f t="shared" si="155"/>
        <v>0</v>
      </c>
      <c r="J268" s="619">
        <f t="shared" si="155"/>
        <v>0</v>
      </c>
      <c r="K268" s="619">
        <f t="shared" si="155"/>
        <v>0</v>
      </c>
      <c r="L268" s="619">
        <f t="shared" si="155"/>
        <v>0</v>
      </c>
      <c r="M268" s="619">
        <f t="shared" si="155"/>
        <v>190673</v>
      </c>
      <c r="N268" s="619">
        <f t="shared" si="155"/>
        <v>0</v>
      </c>
      <c r="O268" s="619">
        <f t="shared" si="155"/>
        <v>190673</v>
      </c>
    </row>
    <row r="269" spans="1:15" s="631" customFormat="1" ht="17.25" thickTop="1" thickBot="1" x14ac:dyDescent="0.3">
      <c r="A269" s="620"/>
      <c r="B269" s="619" t="s">
        <v>735</v>
      </c>
      <c r="C269" s="619">
        <f>+C260+C263+C264+C265</f>
        <v>0</v>
      </c>
      <c r="D269" s="619">
        <f t="shared" ref="D269:O269" si="156">+D260+D263+D264+D265</f>
        <v>0</v>
      </c>
      <c r="E269" s="619">
        <f t="shared" si="156"/>
        <v>0</v>
      </c>
      <c r="F269" s="619">
        <f t="shared" si="156"/>
        <v>0</v>
      </c>
      <c r="G269" s="619">
        <f t="shared" si="156"/>
        <v>0</v>
      </c>
      <c r="H269" s="619">
        <f t="shared" si="156"/>
        <v>0</v>
      </c>
      <c r="I269" s="619">
        <f t="shared" si="156"/>
        <v>0</v>
      </c>
      <c r="J269" s="619">
        <f t="shared" si="156"/>
        <v>0</v>
      </c>
      <c r="K269" s="619">
        <f t="shared" si="156"/>
        <v>0</v>
      </c>
      <c r="L269" s="619">
        <f t="shared" si="156"/>
        <v>0</v>
      </c>
      <c r="M269" s="619">
        <f t="shared" si="156"/>
        <v>188007</v>
      </c>
      <c r="N269" s="619">
        <f t="shared" si="156"/>
        <v>0</v>
      </c>
      <c r="O269" s="619">
        <f t="shared" si="156"/>
        <v>188007</v>
      </c>
    </row>
    <row r="270" spans="1:15" s="631" customFormat="1" ht="17.25" thickTop="1" thickBot="1" x14ac:dyDescent="0.3">
      <c r="A270" s="620"/>
      <c r="B270" s="619" t="s">
        <v>734</v>
      </c>
      <c r="C270" s="619">
        <f>+C261+C267</f>
        <v>0</v>
      </c>
      <c r="D270" s="619">
        <f t="shared" ref="D270:O270" si="157">+D261+D267</f>
        <v>0</v>
      </c>
      <c r="E270" s="619">
        <f t="shared" si="157"/>
        <v>0</v>
      </c>
      <c r="F270" s="619">
        <f t="shared" si="157"/>
        <v>0</v>
      </c>
      <c r="G270" s="619">
        <f t="shared" si="157"/>
        <v>0</v>
      </c>
      <c r="H270" s="619">
        <f t="shared" si="157"/>
        <v>0</v>
      </c>
      <c r="I270" s="619">
        <f t="shared" si="157"/>
        <v>0</v>
      </c>
      <c r="J270" s="619">
        <f t="shared" si="157"/>
        <v>0</v>
      </c>
      <c r="K270" s="619">
        <f t="shared" si="157"/>
        <v>0</v>
      </c>
      <c r="L270" s="619">
        <f t="shared" si="157"/>
        <v>0</v>
      </c>
      <c r="M270" s="619">
        <f t="shared" si="157"/>
        <v>2666</v>
      </c>
      <c r="N270" s="619">
        <f t="shared" si="157"/>
        <v>0</v>
      </c>
      <c r="O270" s="619">
        <f t="shared" si="157"/>
        <v>2666</v>
      </c>
    </row>
    <row r="271" spans="1:15" s="631" customFormat="1" ht="16.5" thickTop="1" x14ac:dyDescent="0.25">
      <c r="A271" s="626" t="s">
        <v>13</v>
      </c>
      <c r="B271" s="628" t="s">
        <v>731</v>
      </c>
      <c r="C271" s="628"/>
      <c r="D271" s="628"/>
      <c r="E271" s="628"/>
      <c r="F271" s="628"/>
      <c r="G271" s="628"/>
      <c r="H271" s="628"/>
      <c r="I271" s="628"/>
      <c r="J271" s="628"/>
      <c r="K271" s="628"/>
      <c r="L271" s="628"/>
      <c r="M271" s="628"/>
      <c r="N271" s="628"/>
      <c r="O271" s="628"/>
    </row>
    <row r="272" spans="1:15" x14ac:dyDescent="0.25">
      <c r="A272" s="626"/>
      <c r="B272" s="624" t="s">
        <v>1116</v>
      </c>
      <c r="C272" s="624">
        <v>15847</v>
      </c>
      <c r="D272" s="624"/>
      <c r="E272" s="624"/>
      <c r="F272" s="624">
        <v>9200</v>
      </c>
      <c r="G272" s="624"/>
      <c r="H272" s="624"/>
      <c r="I272" s="624"/>
      <c r="J272" s="624">
        <f>SUM(C272+E272+F272+H272)</f>
        <v>25047</v>
      </c>
      <c r="K272" s="624">
        <f>SUM(D272+G272+I272)</f>
        <v>0</v>
      </c>
      <c r="L272" s="624">
        <f>SUM(J272:K272)</f>
        <v>25047</v>
      </c>
      <c r="M272" s="624">
        <v>231966</v>
      </c>
      <c r="N272" s="624">
        <v>21870</v>
      </c>
      <c r="O272" s="624">
        <f>SUM(L272:N272)</f>
        <v>278883</v>
      </c>
    </row>
    <row r="273" spans="1:15" x14ac:dyDescent="0.25">
      <c r="A273" s="634"/>
      <c r="B273" s="625" t="s">
        <v>738</v>
      </c>
      <c r="C273" s="625">
        <v>15847</v>
      </c>
      <c r="D273" s="625"/>
      <c r="E273" s="625"/>
      <c r="F273" s="625">
        <v>9200</v>
      </c>
      <c r="G273" s="625"/>
      <c r="H273" s="625"/>
      <c r="I273" s="625"/>
      <c r="J273" s="632">
        <f>SUM(C273+E273+F273+H273)</f>
        <v>25047</v>
      </c>
      <c r="K273" s="632">
        <f>SUM(D273+G273+I273)</f>
        <v>0</v>
      </c>
      <c r="L273" s="632">
        <f>SUM(J273:K273)</f>
        <v>25047</v>
      </c>
      <c r="M273" s="632">
        <v>230375</v>
      </c>
      <c r="N273" s="632">
        <v>21870</v>
      </c>
      <c r="O273" s="632">
        <f>SUM(L273:N273)</f>
        <v>277292</v>
      </c>
    </row>
    <row r="274" spans="1:15" x14ac:dyDescent="0.25">
      <c r="A274" s="634"/>
      <c r="B274" s="625" t="s">
        <v>737</v>
      </c>
      <c r="C274" s="625"/>
      <c r="D274" s="625"/>
      <c r="E274" s="625"/>
      <c r="F274" s="625"/>
      <c r="G274" s="625"/>
      <c r="H274" s="625"/>
      <c r="I274" s="625"/>
      <c r="J274" s="625">
        <f>SUM(C274+E274+F274+H274)</f>
        <v>0</v>
      </c>
      <c r="K274" s="625">
        <f>SUM(D274+G274+I274)</f>
        <v>0</v>
      </c>
      <c r="L274" s="625">
        <f>SUM(J274:K274)</f>
        <v>0</v>
      </c>
      <c r="M274" s="625">
        <v>1591</v>
      </c>
      <c r="N274" s="625"/>
      <c r="O274" s="625">
        <f>SUM(L274:N274)</f>
        <v>1591</v>
      </c>
    </row>
    <row r="275" spans="1:15" x14ac:dyDescent="0.25">
      <c r="A275" s="634"/>
      <c r="B275" s="625" t="s">
        <v>178</v>
      </c>
      <c r="C275" s="625"/>
      <c r="D275" s="625"/>
      <c r="E275" s="625"/>
      <c r="F275" s="625"/>
      <c r="G275" s="625"/>
      <c r="H275" s="625"/>
      <c r="I275" s="625"/>
      <c r="J275" s="632"/>
      <c r="K275" s="632"/>
      <c r="L275" s="632"/>
      <c r="M275" s="632"/>
      <c r="N275" s="632"/>
      <c r="O275" s="632"/>
    </row>
    <row r="276" spans="1:15" x14ac:dyDescent="0.25">
      <c r="A276" s="634"/>
      <c r="B276" s="852" t="s">
        <v>1110</v>
      </c>
      <c r="C276" s="625"/>
      <c r="D276" s="625"/>
      <c r="E276" s="625"/>
      <c r="F276" s="625"/>
      <c r="G276" s="625"/>
      <c r="H276" s="625"/>
      <c r="I276" s="625"/>
      <c r="J276" s="852">
        <f t="shared" ref="J276:J280" si="158">SUM(C276+E276+F276+H276)</f>
        <v>0</v>
      </c>
      <c r="K276" s="852">
        <f t="shared" ref="K276:K280" si="159">SUM(D276+G276+I276)</f>
        <v>0</v>
      </c>
      <c r="L276" s="852">
        <f t="shared" ref="L276:L280" si="160">SUM(J276:K276)</f>
        <v>0</v>
      </c>
      <c r="M276" s="852">
        <v>618</v>
      </c>
      <c r="N276" s="852"/>
      <c r="O276" s="852">
        <f t="shared" ref="O276:O280" si="161">SUM(L276:N276)</f>
        <v>618</v>
      </c>
    </row>
    <row r="277" spans="1:15" s="631" customFormat="1" ht="31.5" x14ac:dyDescent="0.25">
      <c r="A277" s="634"/>
      <c r="B277" s="853" t="s">
        <v>1112</v>
      </c>
      <c r="C277" s="852"/>
      <c r="D277" s="625"/>
      <c r="E277" s="625"/>
      <c r="F277" s="625"/>
      <c r="G277" s="625"/>
      <c r="H277" s="625"/>
      <c r="I277" s="625"/>
      <c r="J277" s="852">
        <f t="shared" si="158"/>
        <v>0</v>
      </c>
      <c r="K277" s="852">
        <f t="shared" si="159"/>
        <v>0</v>
      </c>
      <c r="L277" s="852">
        <f t="shared" si="160"/>
        <v>0</v>
      </c>
      <c r="M277" s="852">
        <v>1231</v>
      </c>
      <c r="N277" s="852"/>
      <c r="O277" s="852">
        <f t="shared" si="161"/>
        <v>1231</v>
      </c>
    </row>
    <row r="278" spans="1:15" s="631" customFormat="1" ht="31.5" x14ac:dyDescent="0.25">
      <c r="A278" s="634"/>
      <c r="B278" s="853" t="s">
        <v>1117</v>
      </c>
      <c r="C278" s="852">
        <v>6924</v>
      </c>
      <c r="D278" s="625"/>
      <c r="E278" s="625"/>
      <c r="F278" s="625"/>
      <c r="G278" s="625"/>
      <c r="H278" s="625"/>
      <c r="I278" s="625"/>
      <c r="J278" s="852">
        <f t="shared" si="158"/>
        <v>6924</v>
      </c>
      <c r="K278" s="852">
        <f t="shared" si="159"/>
        <v>0</v>
      </c>
      <c r="L278" s="852">
        <f t="shared" si="160"/>
        <v>6924</v>
      </c>
      <c r="M278" s="852"/>
      <c r="N278" s="852"/>
      <c r="O278" s="852">
        <f t="shared" si="161"/>
        <v>6924</v>
      </c>
    </row>
    <row r="279" spans="1:15" s="631" customFormat="1" x14ac:dyDescent="0.25">
      <c r="A279" s="634"/>
      <c r="B279" s="625" t="s">
        <v>179</v>
      </c>
      <c r="C279" s="625"/>
      <c r="D279" s="625"/>
      <c r="E279" s="625"/>
      <c r="F279" s="625"/>
      <c r="G279" s="625"/>
      <c r="H279" s="625"/>
      <c r="I279" s="625"/>
      <c r="J279" s="852"/>
      <c r="K279" s="852"/>
      <c r="L279" s="852"/>
      <c r="M279" s="852"/>
      <c r="N279" s="852"/>
      <c r="O279" s="852"/>
    </row>
    <row r="280" spans="1:15" s="631" customFormat="1" ht="16.5" thickBot="1" x14ac:dyDescent="0.3">
      <c r="A280" s="634"/>
      <c r="B280" s="637" t="s">
        <v>1111</v>
      </c>
      <c r="C280" s="625"/>
      <c r="D280" s="625"/>
      <c r="E280" s="625"/>
      <c r="F280" s="625"/>
      <c r="G280" s="625"/>
      <c r="H280" s="625"/>
      <c r="I280" s="625"/>
      <c r="J280" s="852">
        <f t="shared" si="158"/>
        <v>0</v>
      </c>
      <c r="K280" s="852">
        <f t="shared" si="159"/>
        <v>0</v>
      </c>
      <c r="L280" s="852">
        <f t="shared" si="160"/>
        <v>0</v>
      </c>
      <c r="M280" s="852">
        <v>952</v>
      </c>
      <c r="N280" s="852"/>
      <c r="O280" s="852">
        <f t="shared" si="161"/>
        <v>952</v>
      </c>
    </row>
    <row r="281" spans="1:15" s="631" customFormat="1" ht="17.25" thickTop="1" thickBot="1" x14ac:dyDescent="0.3">
      <c r="A281" s="620"/>
      <c r="B281" s="619" t="s">
        <v>736</v>
      </c>
      <c r="C281" s="619">
        <f>+C272+C276+C277+C278+C280</f>
        <v>22771</v>
      </c>
      <c r="D281" s="619">
        <f t="shared" ref="D281:O281" si="162">+D272+D276+D277+D278+D280</f>
        <v>0</v>
      </c>
      <c r="E281" s="619">
        <f t="shared" si="162"/>
        <v>0</v>
      </c>
      <c r="F281" s="619">
        <f t="shared" si="162"/>
        <v>9200</v>
      </c>
      <c r="G281" s="619">
        <f t="shared" si="162"/>
        <v>0</v>
      </c>
      <c r="H281" s="619">
        <f t="shared" si="162"/>
        <v>0</v>
      </c>
      <c r="I281" s="619">
        <f t="shared" si="162"/>
        <v>0</v>
      </c>
      <c r="J281" s="619">
        <f t="shared" si="162"/>
        <v>31971</v>
      </c>
      <c r="K281" s="619">
        <f t="shared" si="162"/>
        <v>0</v>
      </c>
      <c r="L281" s="619">
        <f t="shared" si="162"/>
        <v>31971</v>
      </c>
      <c r="M281" s="619">
        <f t="shared" si="162"/>
        <v>234767</v>
      </c>
      <c r="N281" s="619">
        <f t="shared" si="162"/>
        <v>21870</v>
      </c>
      <c r="O281" s="619">
        <f t="shared" si="162"/>
        <v>288608</v>
      </c>
    </row>
    <row r="282" spans="1:15" s="631" customFormat="1" ht="17.25" thickTop="1" thickBot="1" x14ac:dyDescent="0.3">
      <c r="A282" s="620"/>
      <c r="B282" s="619" t="s">
        <v>735</v>
      </c>
      <c r="C282" s="619">
        <f>+C273+C276+C277+C278</f>
        <v>22771</v>
      </c>
      <c r="D282" s="619">
        <f t="shared" ref="D282:O282" si="163">+D273+D276+D277+D278</f>
        <v>0</v>
      </c>
      <c r="E282" s="619">
        <f t="shared" si="163"/>
        <v>0</v>
      </c>
      <c r="F282" s="619">
        <f t="shared" si="163"/>
        <v>9200</v>
      </c>
      <c r="G282" s="619">
        <f t="shared" si="163"/>
        <v>0</v>
      </c>
      <c r="H282" s="619">
        <f t="shared" si="163"/>
        <v>0</v>
      </c>
      <c r="I282" s="619">
        <f t="shared" si="163"/>
        <v>0</v>
      </c>
      <c r="J282" s="619">
        <f t="shared" si="163"/>
        <v>31971</v>
      </c>
      <c r="K282" s="619">
        <f t="shared" si="163"/>
        <v>0</v>
      </c>
      <c r="L282" s="619">
        <f t="shared" si="163"/>
        <v>31971</v>
      </c>
      <c r="M282" s="619">
        <f t="shared" si="163"/>
        <v>232224</v>
      </c>
      <c r="N282" s="619">
        <f t="shared" si="163"/>
        <v>21870</v>
      </c>
      <c r="O282" s="619">
        <f t="shared" si="163"/>
        <v>286065</v>
      </c>
    </row>
    <row r="283" spans="1:15" s="631" customFormat="1" ht="17.25" thickTop="1" thickBot="1" x14ac:dyDescent="0.3">
      <c r="A283" s="620"/>
      <c r="B283" s="619" t="s">
        <v>734</v>
      </c>
      <c r="C283" s="619">
        <f>+C274+C280</f>
        <v>0</v>
      </c>
      <c r="D283" s="619">
        <f t="shared" ref="D283:O283" si="164">+D274+D280</f>
        <v>0</v>
      </c>
      <c r="E283" s="619">
        <f t="shared" si="164"/>
        <v>0</v>
      </c>
      <c r="F283" s="619">
        <f t="shared" si="164"/>
        <v>0</v>
      </c>
      <c r="G283" s="619">
        <f t="shared" si="164"/>
        <v>0</v>
      </c>
      <c r="H283" s="619">
        <f t="shared" si="164"/>
        <v>0</v>
      </c>
      <c r="I283" s="619">
        <f t="shared" si="164"/>
        <v>0</v>
      </c>
      <c r="J283" s="619">
        <f t="shared" si="164"/>
        <v>0</v>
      </c>
      <c r="K283" s="619">
        <f t="shared" si="164"/>
        <v>0</v>
      </c>
      <c r="L283" s="619">
        <f t="shared" si="164"/>
        <v>0</v>
      </c>
      <c r="M283" s="619">
        <f t="shared" si="164"/>
        <v>2543</v>
      </c>
      <c r="N283" s="619">
        <f t="shared" si="164"/>
        <v>0</v>
      </c>
      <c r="O283" s="619">
        <f t="shared" si="164"/>
        <v>2543</v>
      </c>
    </row>
    <row r="284" spans="1:15" s="631" customFormat="1" ht="17.25" thickTop="1" thickBot="1" x14ac:dyDescent="0.3">
      <c r="A284" s="620"/>
      <c r="B284" s="619" t="s">
        <v>752</v>
      </c>
      <c r="C284" s="619">
        <f t="shared" ref="C284:O284" si="165">SUM(C255+C268+C281)</f>
        <v>78446</v>
      </c>
      <c r="D284" s="619">
        <f t="shared" si="165"/>
        <v>0</v>
      </c>
      <c r="E284" s="619">
        <f t="shared" si="165"/>
        <v>0</v>
      </c>
      <c r="F284" s="619">
        <f t="shared" si="165"/>
        <v>328943</v>
      </c>
      <c r="G284" s="619">
        <f t="shared" si="165"/>
        <v>0</v>
      </c>
      <c r="H284" s="619">
        <f t="shared" si="165"/>
        <v>0</v>
      </c>
      <c r="I284" s="619">
        <f t="shared" si="165"/>
        <v>0</v>
      </c>
      <c r="J284" s="619">
        <f t="shared" si="165"/>
        <v>407389</v>
      </c>
      <c r="K284" s="619">
        <f t="shared" si="165"/>
        <v>0</v>
      </c>
      <c r="L284" s="619">
        <f t="shared" si="165"/>
        <v>407389</v>
      </c>
      <c r="M284" s="619">
        <f t="shared" si="165"/>
        <v>1052698</v>
      </c>
      <c r="N284" s="619">
        <f t="shared" si="165"/>
        <v>29866</v>
      </c>
      <c r="O284" s="619">
        <f t="shared" si="165"/>
        <v>1489953</v>
      </c>
    </row>
    <row r="285" spans="1:15" s="631" customFormat="1" ht="16.5" thickTop="1" x14ac:dyDescent="0.25">
      <c r="A285" s="623" t="s">
        <v>14</v>
      </c>
      <c r="B285" s="640" t="s">
        <v>751</v>
      </c>
      <c r="C285" s="640"/>
      <c r="D285" s="640"/>
      <c r="E285" s="640"/>
      <c r="F285" s="640"/>
      <c r="G285" s="640"/>
      <c r="H285" s="640"/>
      <c r="I285" s="640"/>
      <c r="J285" s="640"/>
      <c r="K285" s="640"/>
      <c r="L285" s="640"/>
      <c r="M285" s="640"/>
      <c r="N285" s="640"/>
      <c r="O285" s="640"/>
    </row>
    <row r="286" spans="1:15" s="631" customFormat="1" x14ac:dyDescent="0.25">
      <c r="A286" s="626"/>
      <c r="B286" s="639" t="s">
        <v>653</v>
      </c>
      <c r="C286" s="639">
        <v>52076</v>
      </c>
      <c r="D286" s="639"/>
      <c r="E286" s="639"/>
      <c r="F286" s="639">
        <v>661986</v>
      </c>
      <c r="G286" s="639"/>
      <c r="H286" s="639"/>
      <c r="I286" s="639"/>
      <c r="J286" s="624">
        <f>SUM(C286+E286+F286+H286)</f>
        <v>714062</v>
      </c>
      <c r="K286" s="624">
        <f>SUM(D286+G286+I286)</f>
        <v>0</v>
      </c>
      <c r="L286" s="624">
        <f>SUM(J286:K286)</f>
        <v>714062</v>
      </c>
      <c r="M286" s="624">
        <v>1590234</v>
      </c>
      <c r="N286" s="624">
        <v>5191</v>
      </c>
      <c r="O286" s="624">
        <f>SUM(L286:N286)</f>
        <v>2309487</v>
      </c>
    </row>
    <row r="287" spans="1:15" x14ac:dyDescent="0.25">
      <c r="A287" s="634"/>
      <c r="B287" s="625" t="s">
        <v>738</v>
      </c>
      <c r="C287" s="625">
        <v>52076</v>
      </c>
      <c r="D287" s="625"/>
      <c r="E287" s="625"/>
      <c r="F287" s="625">
        <v>661986</v>
      </c>
      <c r="G287" s="625"/>
      <c r="H287" s="625"/>
      <c r="I287" s="625"/>
      <c r="J287" s="632">
        <f>SUM(C287+E287+F287+H287)</f>
        <v>714062</v>
      </c>
      <c r="K287" s="632">
        <f>SUM(D287+G287+I287)</f>
        <v>0</v>
      </c>
      <c r="L287" s="632">
        <f>SUM(J287:K287)</f>
        <v>714062</v>
      </c>
      <c r="M287" s="632">
        <v>1580896</v>
      </c>
      <c r="N287" s="632">
        <v>5191</v>
      </c>
      <c r="O287" s="632">
        <f>SUM(L287:N287)</f>
        <v>2300149</v>
      </c>
    </row>
    <row r="288" spans="1:15" x14ac:dyDescent="0.25">
      <c r="A288" s="634"/>
      <c r="B288" s="625" t="s">
        <v>737</v>
      </c>
      <c r="C288" s="625"/>
      <c r="D288" s="625"/>
      <c r="E288" s="625"/>
      <c r="F288" s="625"/>
      <c r="G288" s="625"/>
      <c r="H288" s="625"/>
      <c r="I288" s="625"/>
      <c r="J288" s="625">
        <f>SUM(C288+E288+F288+H288)</f>
        <v>0</v>
      </c>
      <c r="K288" s="625">
        <f>SUM(D288+G288+I288)</f>
        <v>0</v>
      </c>
      <c r="L288" s="625">
        <f>SUM(J288:K288)</f>
        <v>0</v>
      </c>
      <c r="M288" s="625">
        <v>9338</v>
      </c>
      <c r="N288" s="625"/>
      <c r="O288" s="625">
        <f>SUM(L288:N288)</f>
        <v>9338</v>
      </c>
    </row>
    <row r="289" spans="1:15" x14ac:dyDescent="0.25">
      <c r="A289" s="626"/>
      <c r="B289" s="625" t="s">
        <v>178</v>
      </c>
      <c r="C289" s="625"/>
      <c r="D289" s="625"/>
      <c r="E289" s="625"/>
      <c r="F289" s="625"/>
      <c r="G289" s="625"/>
      <c r="H289" s="625"/>
      <c r="I289" s="625"/>
      <c r="J289" s="624"/>
      <c r="K289" s="624"/>
      <c r="L289" s="624"/>
      <c r="M289" s="624"/>
      <c r="N289" s="624"/>
      <c r="O289" s="624"/>
    </row>
    <row r="290" spans="1:15" x14ac:dyDescent="0.25">
      <c r="A290" s="626"/>
      <c r="B290" s="852" t="s">
        <v>1110</v>
      </c>
      <c r="C290" s="624"/>
      <c r="D290" s="624"/>
      <c r="E290" s="624"/>
      <c r="F290" s="624"/>
      <c r="G290" s="624"/>
      <c r="H290" s="624"/>
      <c r="I290" s="624"/>
      <c r="J290" s="624">
        <f t="shared" ref="J290:J294" si="166">SUM(C290+E290+F290+H290)</f>
        <v>0</v>
      </c>
      <c r="K290" s="624">
        <f t="shared" ref="K290:K294" si="167">SUM(D290+G290+I290)</f>
        <v>0</v>
      </c>
      <c r="L290" s="624">
        <f t="shared" ref="L290:L294" si="168">SUM(J290:K290)</f>
        <v>0</v>
      </c>
      <c r="M290" s="624">
        <v>3207</v>
      </c>
      <c r="N290" s="624"/>
      <c r="O290" s="624">
        <f t="shared" ref="O290:O294" si="169">SUM(L290:N290)</f>
        <v>3207</v>
      </c>
    </row>
    <row r="291" spans="1:15" x14ac:dyDescent="0.25">
      <c r="A291" s="630"/>
      <c r="B291" s="853" t="s">
        <v>942</v>
      </c>
      <c r="C291" s="628"/>
      <c r="D291" s="628"/>
      <c r="E291" s="628"/>
      <c r="F291" s="628"/>
      <c r="G291" s="628"/>
      <c r="H291" s="628"/>
      <c r="I291" s="628"/>
      <c r="J291" s="628">
        <f t="shared" si="166"/>
        <v>0</v>
      </c>
      <c r="K291" s="628">
        <f t="shared" si="167"/>
        <v>0</v>
      </c>
      <c r="L291" s="628">
        <f t="shared" si="168"/>
        <v>0</v>
      </c>
      <c r="M291" s="628">
        <v>282</v>
      </c>
      <c r="N291" s="628"/>
      <c r="O291" s="628">
        <f t="shared" si="169"/>
        <v>282</v>
      </c>
    </row>
    <row r="292" spans="1:15" s="631" customFormat="1" ht="31.5" x14ac:dyDescent="0.25">
      <c r="A292" s="630"/>
      <c r="B292" s="853" t="s">
        <v>941</v>
      </c>
      <c r="C292" s="628"/>
      <c r="D292" s="628"/>
      <c r="E292" s="628"/>
      <c r="F292" s="628"/>
      <c r="G292" s="628"/>
      <c r="H292" s="628"/>
      <c r="I292" s="628"/>
      <c r="J292" s="628">
        <f t="shared" si="166"/>
        <v>0</v>
      </c>
      <c r="K292" s="628">
        <f t="shared" si="167"/>
        <v>0</v>
      </c>
      <c r="L292" s="628">
        <f t="shared" si="168"/>
        <v>0</v>
      </c>
      <c r="M292" s="628">
        <v>446</v>
      </c>
      <c r="N292" s="628"/>
      <c r="O292" s="628">
        <f t="shared" si="169"/>
        <v>446</v>
      </c>
    </row>
    <row r="293" spans="1:15" s="631" customFormat="1" x14ac:dyDescent="0.25">
      <c r="A293" s="626"/>
      <c r="B293" s="625" t="s">
        <v>179</v>
      </c>
      <c r="C293" s="624"/>
      <c r="D293" s="624"/>
      <c r="E293" s="624"/>
      <c r="F293" s="624"/>
      <c r="G293" s="624"/>
      <c r="H293" s="624"/>
      <c r="I293" s="624"/>
      <c r="J293" s="624"/>
      <c r="K293" s="624"/>
      <c r="L293" s="624"/>
      <c r="M293" s="624"/>
      <c r="N293" s="624"/>
      <c r="O293" s="624"/>
    </row>
    <row r="294" spans="1:15" s="631" customFormat="1" ht="16.5" thickBot="1" x14ac:dyDescent="0.3">
      <c r="A294" s="626"/>
      <c r="B294" s="637" t="s">
        <v>1111</v>
      </c>
      <c r="C294" s="624"/>
      <c r="D294" s="624"/>
      <c r="E294" s="624"/>
      <c r="F294" s="624"/>
      <c r="G294" s="624"/>
      <c r="H294" s="624"/>
      <c r="I294" s="624"/>
      <c r="J294" s="624">
        <f t="shared" si="166"/>
        <v>0</v>
      </c>
      <c r="K294" s="624">
        <f t="shared" si="167"/>
        <v>0</v>
      </c>
      <c r="L294" s="624">
        <f t="shared" si="168"/>
        <v>0</v>
      </c>
      <c r="M294" s="624">
        <v>6022</v>
      </c>
      <c r="N294" s="624"/>
      <c r="O294" s="624">
        <f t="shared" si="169"/>
        <v>6022</v>
      </c>
    </row>
    <row r="295" spans="1:15" s="631" customFormat="1" ht="17.25" thickTop="1" thickBot="1" x14ac:dyDescent="0.3">
      <c r="A295" s="620"/>
      <c r="B295" s="619" t="s">
        <v>736</v>
      </c>
      <c r="C295" s="619">
        <f>+C286+C290+C291+C294+C292</f>
        <v>52076</v>
      </c>
      <c r="D295" s="619">
        <f t="shared" ref="D295:O295" si="170">+D286+D290+D291+D294+D292</f>
        <v>0</v>
      </c>
      <c r="E295" s="619">
        <f t="shared" si="170"/>
        <v>0</v>
      </c>
      <c r="F295" s="619">
        <f t="shared" si="170"/>
        <v>661986</v>
      </c>
      <c r="G295" s="619">
        <f t="shared" si="170"/>
        <v>0</v>
      </c>
      <c r="H295" s="619">
        <f t="shared" si="170"/>
        <v>0</v>
      </c>
      <c r="I295" s="619">
        <f t="shared" si="170"/>
        <v>0</v>
      </c>
      <c r="J295" s="619">
        <f t="shared" si="170"/>
        <v>714062</v>
      </c>
      <c r="K295" s="619">
        <f t="shared" si="170"/>
        <v>0</v>
      </c>
      <c r="L295" s="619">
        <f t="shared" si="170"/>
        <v>714062</v>
      </c>
      <c r="M295" s="619">
        <f t="shared" si="170"/>
        <v>1600191</v>
      </c>
      <c r="N295" s="619">
        <f t="shared" si="170"/>
        <v>5191</v>
      </c>
      <c r="O295" s="619">
        <f t="shared" si="170"/>
        <v>2319444</v>
      </c>
    </row>
    <row r="296" spans="1:15" s="631" customFormat="1" ht="17.25" thickTop="1" thickBot="1" x14ac:dyDescent="0.3">
      <c r="A296" s="620"/>
      <c r="B296" s="619" t="s">
        <v>735</v>
      </c>
      <c r="C296" s="619">
        <f>+C287+C290+C291+C292</f>
        <v>52076</v>
      </c>
      <c r="D296" s="619">
        <f t="shared" ref="D296:O296" si="171">+D287+D290+D291+D292</f>
        <v>0</v>
      </c>
      <c r="E296" s="619">
        <f t="shared" si="171"/>
        <v>0</v>
      </c>
      <c r="F296" s="619">
        <f t="shared" si="171"/>
        <v>661986</v>
      </c>
      <c r="G296" s="619">
        <f t="shared" si="171"/>
        <v>0</v>
      </c>
      <c r="H296" s="619">
        <f t="shared" si="171"/>
        <v>0</v>
      </c>
      <c r="I296" s="619">
        <f t="shared" si="171"/>
        <v>0</v>
      </c>
      <c r="J296" s="619">
        <f t="shared" si="171"/>
        <v>714062</v>
      </c>
      <c r="K296" s="619">
        <f t="shared" si="171"/>
        <v>0</v>
      </c>
      <c r="L296" s="619">
        <f t="shared" si="171"/>
        <v>714062</v>
      </c>
      <c r="M296" s="619">
        <f t="shared" si="171"/>
        <v>1584831</v>
      </c>
      <c r="N296" s="619">
        <f t="shared" si="171"/>
        <v>5191</v>
      </c>
      <c r="O296" s="619">
        <f t="shared" si="171"/>
        <v>2304084</v>
      </c>
    </row>
    <row r="297" spans="1:15" s="631" customFormat="1" ht="17.25" thickTop="1" thickBot="1" x14ac:dyDescent="0.3">
      <c r="A297" s="620"/>
      <c r="B297" s="619" t="s">
        <v>734</v>
      </c>
      <c r="C297" s="619">
        <f>+C288+C294</f>
        <v>0</v>
      </c>
      <c r="D297" s="619">
        <f t="shared" ref="D297:O297" si="172">+D288+D294</f>
        <v>0</v>
      </c>
      <c r="E297" s="619">
        <f t="shared" si="172"/>
        <v>0</v>
      </c>
      <c r="F297" s="619">
        <f t="shared" si="172"/>
        <v>0</v>
      </c>
      <c r="G297" s="619">
        <f t="shared" si="172"/>
        <v>0</v>
      </c>
      <c r="H297" s="619">
        <f t="shared" si="172"/>
        <v>0</v>
      </c>
      <c r="I297" s="619">
        <f t="shared" si="172"/>
        <v>0</v>
      </c>
      <c r="J297" s="619">
        <f t="shared" si="172"/>
        <v>0</v>
      </c>
      <c r="K297" s="619">
        <f t="shared" si="172"/>
        <v>0</v>
      </c>
      <c r="L297" s="619">
        <f t="shared" si="172"/>
        <v>0</v>
      </c>
      <c r="M297" s="619">
        <f t="shared" si="172"/>
        <v>15360</v>
      </c>
      <c r="N297" s="619">
        <f t="shared" si="172"/>
        <v>0</v>
      </c>
      <c r="O297" s="619">
        <f t="shared" si="172"/>
        <v>15360</v>
      </c>
    </row>
    <row r="298" spans="1:15" s="631" customFormat="1" ht="16.5" thickTop="1" x14ac:dyDescent="0.25">
      <c r="A298" s="626" t="s">
        <v>15</v>
      </c>
      <c r="B298" s="635" t="s">
        <v>750</v>
      </c>
      <c r="C298" s="635"/>
      <c r="D298" s="635"/>
      <c r="E298" s="635"/>
      <c r="F298" s="635"/>
      <c r="G298" s="635"/>
      <c r="H298" s="635"/>
      <c r="I298" s="635"/>
      <c r="J298" s="635"/>
      <c r="K298" s="635"/>
      <c r="L298" s="635"/>
      <c r="M298" s="635"/>
      <c r="N298" s="635"/>
      <c r="O298" s="635"/>
    </row>
    <row r="299" spans="1:15" s="631" customFormat="1" x14ac:dyDescent="0.25">
      <c r="A299" s="626"/>
      <c r="B299" s="624" t="s">
        <v>653</v>
      </c>
      <c r="C299" s="624">
        <v>5099</v>
      </c>
      <c r="D299" s="624"/>
      <c r="E299" s="624"/>
      <c r="F299" s="624">
        <v>350</v>
      </c>
      <c r="G299" s="624"/>
      <c r="H299" s="624"/>
      <c r="I299" s="624"/>
      <c r="J299" s="624">
        <f>SUM(C299+E299+F299+H299)</f>
        <v>5449</v>
      </c>
      <c r="K299" s="624">
        <f>SUM(D299+G299+I299)</f>
        <v>0</v>
      </c>
      <c r="L299" s="624">
        <f>SUM(J299:K299)</f>
        <v>5449</v>
      </c>
      <c r="M299" s="624">
        <v>61693</v>
      </c>
      <c r="N299" s="624">
        <v>1200</v>
      </c>
      <c r="O299" s="624">
        <f>SUM(L299:N299)</f>
        <v>68342</v>
      </c>
    </row>
    <row r="300" spans="1:15" s="631" customFormat="1" x14ac:dyDescent="0.25">
      <c r="A300" s="634"/>
      <c r="B300" s="625" t="s">
        <v>744</v>
      </c>
      <c r="C300" s="625">
        <v>5099</v>
      </c>
      <c r="D300" s="625"/>
      <c r="E300" s="625"/>
      <c r="F300" s="625">
        <v>350</v>
      </c>
      <c r="G300" s="625"/>
      <c r="H300" s="625"/>
      <c r="I300" s="625"/>
      <c r="J300" s="632">
        <f>SUM(C300+E300+F300+H300)</f>
        <v>5449</v>
      </c>
      <c r="K300" s="632">
        <f>SUM(D300+G300+I300)</f>
        <v>0</v>
      </c>
      <c r="L300" s="632">
        <f>SUM(J300:K300)</f>
        <v>5449</v>
      </c>
      <c r="M300" s="632">
        <v>61693</v>
      </c>
      <c r="N300" s="632">
        <v>1200</v>
      </c>
      <c r="O300" s="632">
        <f>SUM(L300:N300)</f>
        <v>68342</v>
      </c>
    </row>
    <row r="301" spans="1:15" s="631" customFormat="1" x14ac:dyDescent="0.25">
      <c r="A301" s="626"/>
      <c r="B301" s="625" t="s">
        <v>179</v>
      </c>
      <c r="C301" s="624"/>
      <c r="D301" s="624"/>
      <c r="E301" s="624"/>
      <c r="F301" s="624"/>
      <c r="G301" s="624"/>
      <c r="H301" s="624"/>
      <c r="I301" s="624"/>
      <c r="J301" s="632"/>
      <c r="K301" s="632"/>
      <c r="L301" s="632"/>
      <c r="M301" s="624"/>
      <c r="N301" s="624"/>
      <c r="O301" s="632"/>
    </row>
    <row r="302" spans="1:15" x14ac:dyDescent="0.25">
      <c r="A302" s="634"/>
      <c r="B302" s="852" t="s">
        <v>1110</v>
      </c>
      <c r="C302" s="625"/>
      <c r="D302" s="625"/>
      <c r="E302" s="625"/>
      <c r="F302" s="625"/>
      <c r="G302" s="625"/>
      <c r="H302" s="625"/>
      <c r="I302" s="625"/>
      <c r="J302" s="852">
        <f t="shared" ref="J302:J306" si="173">SUM(C302+E302+F302+H302)</f>
        <v>0</v>
      </c>
      <c r="K302" s="852">
        <f t="shared" ref="K302:K306" si="174">SUM(D302+G302+I302)</f>
        <v>0</v>
      </c>
      <c r="L302" s="852">
        <f t="shared" ref="L302:L306" si="175">SUM(J302:K302)</f>
        <v>0</v>
      </c>
      <c r="M302" s="852">
        <v>55</v>
      </c>
      <c r="N302" s="852"/>
      <c r="O302" s="852">
        <f>SUM(L302:N302)</f>
        <v>55</v>
      </c>
    </row>
    <row r="303" spans="1:15" x14ac:dyDescent="0.25">
      <c r="A303" s="626"/>
      <c r="B303" s="637" t="s">
        <v>1111</v>
      </c>
      <c r="C303" s="624"/>
      <c r="D303" s="624"/>
      <c r="E303" s="624"/>
      <c r="F303" s="624"/>
      <c r="G303" s="624"/>
      <c r="H303" s="624"/>
      <c r="I303" s="624"/>
      <c r="J303" s="852">
        <f t="shared" si="173"/>
        <v>0</v>
      </c>
      <c r="K303" s="852">
        <f t="shared" si="174"/>
        <v>0</v>
      </c>
      <c r="L303" s="852">
        <f t="shared" si="175"/>
        <v>0</v>
      </c>
      <c r="M303" s="852">
        <v>233</v>
      </c>
      <c r="N303" s="852"/>
      <c r="O303" s="852">
        <f t="shared" ref="O303:O306" si="176">SUM(L303:N303)</f>
        <v>233</v>
      </c>
    </row>
    <row r="304" spans="1:15" ht="31.5" x14ac:dyDescent="0.25">
      <c r="A304" s="634"/>
      <c r="B304" s="637" t="s">
        <v>941</v>
      </c>
      <c r="C304" s="625"/>
      <c r="D304" s="625"/>
      <c r="E304" s="625"/>
      <c r="F304" s="625"/>
      <c r="G304" s="625"/>
      <c r="H304" s="625"/>
      <c r="I304" s="625"/>
      <c r="J304" s="852">
        <f t="shared" si="173"/>
        <v>0</v>
      </c>
      <c r="K304" s="852">
        <f t="shared" si="174"/>
        <v>0</v>
      </c>
      <c r="L304" s="852">
        <f t="shared" si="175"/>
        <v>0</v>
      </c>
      <c r="M304" s="852">
        <v>164</v>
      </c>
      <c r="N304" s="852"/>
      <c r="O304" s="852">
        <f t="shared" si="176"/>
        <v>164</v>
      </c>
    </row>
    <row r="305" spans="1:15" ht="63" x14ac:dyDescent="0.25">
      <c r="A305" s="626"/>
      <c r="B305" s="852" t="s">
        <v>1118</v>
      </c>
      <c r="C305" s="624"/>
      <c r="D305" s="624"/>
      <c r="E305" s="624"/>
      <c r="F305" s="624"/>
      <c r="G305" s="624"/>
      <c r="H305" s="624"/>
      <c r="I305" s="624"/>
      <c r="J305" s="852">
        <f t="shared" si="173"/>
        <v>0</v>
      </c>
      <c r="K305" s="852">
        <f t="shared" si="174"/>
        <v>0</v>
      </c>
      <c r="L305" s="852">
        <f t="shared" si="175"/>
        <v>0</v>
      </c>
      <c r="M305" s="852">
        <v>58</v>
      </c>
      <c r="N305" s="852"/>
      <c r="O305" s="852">
        <f t="shared" si="176"/>
        <v>58</v>
      </c>
    </row>
    <row r="306" spans="1:15" ht="32.25" thickBot="1" x14ac:dyDescent="0.3">
      <c r="A306" s="634"/>
      <c r="B306" s="853" t="s">
        <v>1117</v>
      </c>
      <c r="C306" s="852">
        <v>300</v>
      </c>
      <c r="D306" s="625"/>
      <c r="E306" s="625"/>
      <c r="F306" s="625"/>
      <c r="G306" s="625"/>
      <c r="H306" s="625"/>
      <c r="I306" s="625"/>
      <c r="J306" s="852">
        <f t="shared" si="173"/>
        <v>300</v>
      </c>
      <c r="K306" s="852">
        <f t="shared" si="174"/>
        <v>0</v>
      </c>
      <c r="L306" s="852">
        <f t="shared" si="175"/>
        <v>300</v>
      </c>
      <c r="M306" s="852"/>
      <c r="N306" s="852"/>
      <c r="O306" s="852">
        <f t="shared" si="176"/>
        <v>300</v>
      </c>
    </row>
    <row r="307" spans="1:15" s="631" customFormat="1" ht="17.25" thickTop="1" thickBot="1" x14ac:dyDescent="0.3">
      <c r="A307" s="620"/>
      <c r="B307" s="619" t="s">
        <v>736</v>
      </c>
      <c r="C307" s="619">
        <f>+C299+C302+C303+C304+C305+C306</f>
        <v>5399</v>
      </c>
      <c r="D307" s="619">
        <f t="shared" ref="D307:O307" si="177">+D299+D302+D303+D304+D305+D306</f>
        <v>0</v>
      </c>
      <c r="E307" s="619">
        <f t="shared" si="177"/>
        <v>0</v>
      </c>
      <c r="F307" s="619">
        <f t="shared" si="177"/>
        <v>350</v>
      </c>
      <c r="G307" s="619">
        <f t="shared" si="177"/>
        <v>0</v>
      </c>
      <c r="H307" s="619">
        <f t="shared" si="177"/>
        <v>0</v>
      </c>
      <c r="I307" s="619">
        <f t="shared" si="177"/>
        <v>0</v>
      </c>
      <c r="J307" s="619">
        <f t="shared" si="177"/>
        <v>5749</v>
      </c>
      <c r="K307" s="619">
        <f t="shared" si="177"/>
        <v>0</v>
      </c>
      <c r="L307" s="619">
        <f t="shared" si="177"/>
        <v>5749</v>
      </c>
      <c r="M307" s="619">
        <f t="shared" si="177"/>
        <v>62203</v>
      </c>
      <c r="N307" s="619">
        <f t="shared" si="177"/>
        <v>1200</v>
      </c>
      <c r="O307" s="619">
        <f t="shared" si="177"/>
        <v>69152</v>
      </c>
    </row>
    <row r="308" spans="1:15" s="631" customFormat="1" ht="17.25" thickTop="1" thickBot="1" x14ac:dyDescent="0.3">
      <c r="A308" s="620"/>
      <c r="B308" s="619" t="s">
        <v>743</v>
      </c>
      <c r="C308" s="619">
        <f>+C300+C302+C303+C304+C305+C306</f>
        <v>5399</v>
      </c>
      <c r="D308" s="619">
        <f t="shared" ref="D308:O308" si="178">+D300+D302+D303+D304+D305+D306</f>
        <v>0</v>
      </c>
      <c r="E308" s="619">
        <f t="shared" si="178"/>
        <v>0</v>
      </c>
      <c r="F308" s="619">
        <f t="shared" si="178"/>
        <v>350</v>
      </c>
      <c r="G308" s="619">
        <f t="shared" si="178"/>
        <v>0</v>
      </c>
      <c r="H308" s="619">
        <f t="shared" si="178"/>
        <v>0</v>
      </c>
      <c r="I308" s="619">
        <f t="shared" si="178"/>
        <v>0</v>
      </c>
      <c r="J308" s="619">
        <f t="shared" si="178"/>
        <v>5749</v>
      </c>
      <c r="K308" s="619">
        <f t="shared" si="178"/>
        <v>0</v>
      </c>
      <c r="L308" s="619">
        <f t="shared" si="178"/>
        <v>5749</v>
      </c>
      <c r="M308" s="619">
        <f t="shared" si="178"/>
        <v>62203</v>
      </c>
      <c r="N308" s="619">
        <f t="shared" si="178"/>
        <v>1200</v>
      </c>
      <c r="O308" s="619">
        <f t="shared" si="178"/>
        <v>69152</v>
      </c>
    </row>
    <row r="309" spans="1:15" s="631" customFormat="1" ht="16.5" thickTop="1" x14ac:dyDescent="0.25">
      <c r="A309" s="630" t="s">
        <v>16</v>
      </c>
      <c r="B309" s="635" t="s">
        <v>749</v>
      </c>
      <c r="C309" s="635"/>
      <c r="D309" s="635"/>
      <c r="E309" s="635"/>
      <c r="F309" s="635"/>
      <c r="G309" s="635"/>
      <c r="H309" s="635"/>
      <c r="I309" s="635"/>
      <c r="J309" s="635"/>
      <c r="K309" s="635"/>
      <c r="L309" s="635"/>
      <c r="M309" s="635"/>
      <c r="N309" s="635"/>
      <c r="O309" s="635"/>
    </row>
    <row r="310" spans="1:15" s="631" customFormat="1" x14ac:dyDescent="0.25">
      <c r="A310" s="630"/>
      <c r="B310" s="628" t="s">
        <v>653</v>
      </c>
      <c r="C310" s="628">
        <v>2450</v>
      </c>
      <c r="D310" s="628"/>
      <c r="E310" s="628"/>
      <c r="F310" s="628">
        <v>5700</v>
      </c>
      <c r="G310" s="628"/>
      <c r="H310" s="628"/>
      <c r="I310" s="628"/>
      <c r="J310" s="624">
        <f>SUM(C310+E310+F310+H310)</f>
        <v>8150</v>
      </c>
      <c r="K310" s="624">
        <f>SUM(D310+G310+I310)</f>
        <v>0</v>
      </c>
      <c r="L310" s="624">
        <f>SUM(J310:K310)</f>
        <v>8150</v>
      </c>
      <c r="M310" s="624">
        <v>62026</v>
      </c>
      <c r="N310" s="624">
        <v>3700</v>
      </c>
      <c r="O310" s="624">
        <f>SUM(L310:N310)</f>
        <v>73876</v>
      </c>
    </row>
    <row r="311" spans="1:15" s="631" customFormat="1" x14ac:dyDescent="0.25">
      <c r="A311" s="633"/>
      <c r="B311" s="625" t="s">
        <v>744</v>
      </c>
      <c r="C311" s="625">
        <v>2450</v>
      </c>
      <c r="D311" s="625"/>
      <c r="E311" s="625"/>
      <c r="F311" s="625">
        <v>5700</v>
      </c>
      <c r="G311" s="625"/>
      <c r="H311" s="625"/>
      <c r="I311" s="625"/>
      <c r="J311" s="632">
        <f>SUM(C311+E311+F311+H311)</f>
        <v>8150</v>
      </c>
      <c r="K311" s="632">
        <f>SUM(D311+G311+I311)</f>
        <v>0</v>
      </c>
      <c r="L311" s="632">
        <f>SUM(J311:K311)</f>
        <v>8150</v>
      </c>
      <c r="M311" s="632">
        <v>62026</v>
      </c>
      <c r="N311" s="632">
        <v>3700</v>
      </c>
      <c r="O311" s="632">
        <f>SUM(L311:N311)</f>
        <v>73876</v>
      </c>
    </row>
    <row r="312" spans="1:15" s="631" customFormat="1" x14ac:dyDescent="0.25">
      <c r="A312" s="630"/>
      <c r="B312" s="629" t="s">
        <v>179</v>
      </c>
      <c r="C312" s="628"/>
      <c r="D312" s="628"/>
      <c r="E312" s="628"/>
      <c r="F312" s="628"/>
      <c r="G312" s="628"/>
      <c r="H312" s="628"/>
      <c r="I312" s="628"/>
      <c r="J312" s="624"/>
      <c r="K312" s="624"/>
      <c r="L312" s="624"/>
      <c r="M312" s="624"/>
      <c r="N312" s="624"/>
      <c r="O312" s="624"/>
    </row>
    <row r="313" spans="1:15" s="631" customFormat="1" x14ac:dyDescent="0.25">
      <c r="A313" s="633"/>
      <c r="B313" s="852" t="s">
        <v>1119</v>
      </c>
      <c r="C313" s="625"/>
      <c r="D313" s="625"/>
      <c r="E313" s="625"/>
      <c r="F313" s="625"/>
      <c r="G313" s="625"/>
      <c r="H313" s="625"/>
      <c r="I313" s="625"/>
      <c r="J313" s="852">
        <f t="shared" ref="J313:J315" si="179">SUM(C313+E313+F313+H313)</f>
        <v>0</v>
      </c>
      <c r="K313" s="852">
        <f t="shared" ref="K313:K315" si="180">SUM(D313+G313+I313)</f>
        <v>0</v>
      </c>
      <c r="L313" s="852">
        <f t="shared" ref="L313:L315" si="181">SUM(J313:K313)</f>
        <v>0</v>
      </c>
      <c r="M313" s="852">
        <v>30</v>
      </c>
      <c r="N313" s="852"/>
      <c r="O313" s="852">
        <f t="shared" ref="O313:O315" si="182">SUM(L313:N313)</f>
        <v>30</v>
      </c>
    </row>
    <row r="314" spans="1:15" s="631" customFormat="1" x14ac:dyDescent="0.25">
      <c r="A314" s="630"/>
      <c r="B314" s="637" t="s">
        <v>1111</v>
      </c>
      <c r="C314" s="628"/>
      <c r="D314" s="628"/>
      <c r="E314" s="628"/>
      <c r="F314" s="628"/>
      <c r="G314" s="628"/>
      <c r="H314" s="628"/>
      <c r="I314" s="628"/>
      <c r="J314" s="852">
        <f t="shared" si="179"/>
        <v>0</v>
      </c>
      <c r="K314" s="852">
        <f t="shared" si="180"/>
        <v>0</v>
      </c>
      <c r="L314" s="852">
        <f t="shared" si="181"/>
        <v>0</v>
      </c>
      <c r="M314" s="852">
        <v>121</v>
      </c>
      <c r="N314" s="852"/>
      <c r="O314" s="852">
        <f t="shared" si="182"/>
        <v>121</v>
      </c>
    </row>
    <row r="315" spans="1:15" s="631" customFormat="1" ht="32.25" thickBot="1" x14ac:dyDescent="0.3">
      <c r="A315" s="633"/>
      <c r="B315" s="852" t="s">
        <v>1120</v>
      </c>
      <c r="C315" s="625"/>
      <c r="D315" s="625"/>
      <c r="E315" s="625"/>
      <c r="F315" s="852">
        <v>-4578</v>
      </c>
      <c r="G315" s="625"/>
      <c r="H315" s="625"/>
      <c r="I315" s="625"/>
      <c r="J315" s="852">
        <f t="shared" si="179"/>
        <v>-4578</v>
      </c>
      <c r="K315" s="852">
        <f t="shared" si="180"/>
        <v>0</v>
      </c>
      <c r="L315" s="852">
        <f t="shared" si="181"/>
        <v>-4578</v>
      </c>
      <c r="M315" s="852">
        <v>-46954</v>
      </c>
      <c r="N315" s="852"/>
      <c r="O315" s="852">
        <f t="shared" si="182"/>
        <v>-51532</v>
      </c>
    </row>
    <row r="316" spans="1:15" s="631" customFormat="1" ht="17.25" thickTop="1" thickBot="1" x14ac:dyDescent="0.3">
      <c r="A316" s="620"/>
      <c r="B316" s="619" t="s">
        <v>736</v>
      </c>
      <c r="C316" s="619">
        <f>+C310+C313+C314+C315</f>
        <v>2450</v>
      </c>
      <c r="D316" s="619">
        <f t="shared" ref="D316:O316" si="183">+D310+D313+D314+D315</f>
        <v>0</v>
      </c>
      <c r="E316" s="619">
        <f t="shared" si="183"/>
        <v>0</v>
      </c>
      <c r="F316" s="619">
        <f t="shared" si="183"/>
        <v>1122</v>
      </c>
      <c r="G316" s="619">
        <f t="shared" si="183"/>
        <v>0</v>
      </c>
      <c r="H316" s="619">
        <f t="shared" si="183"/>
        <v>0</v>
      </c>
      <c r="I316" s="619">
        <f t="shared" si="183"/>
        <v>0</v>
      </c>
      <c r="J316" s="619">
        <f t="shared" si="183"/>
        <v>3572</v>
      </c>
      <c r="K316" s="619">
        <f t="shared" si="183"/>
        <v>0</v>
      </c>
      <c r="L316" s="619">
        <f t="shared" si="183"/>
        <v>3572</v>
      </c>
      <c r="M316" s="619">
        <f t="shared" si="183"/>
        <v>15223</v>
      </c>
      <c r="N316" s="619">
        <f t="shared" si="183"/>
        <v>3700</v>
      </c>
      <c r="O316" s="619">
        <f t="shared" si="183"/>
        <v>22495</v>
      </c>
    </row>
    <row r="317" spans="1:15" ht="17.25" thickTop="1" thickBot="1" x14ac:dyDescent="0.3">
      <c r="A317" s="620"/>
      <c r="B317" s="619" t="s">
        <v>743</v>
      </c>
      <c r="C317" s="619">
        <f>+C311+C313+C314+C315</f>
        <v>2450</v>
      </c>
      <c r="D317" s="619">
        <f t="shared" ref="D317:O317" si="184">+D311+D313+D314+D315</f>
        <v>0</v>
      </c>
      <c r="E317" s="619">
        <f t="shared" si="184"/>
        <v>0</v>
      </c>
      <c r="F317" s="619">
        <f t="shared" si="184"/>
        <v>1122</v>
      </c>
      <c r="G317" s="619">
        <f t="shared" si="184"/>
        <v>0</v>
      </c>
      <c r="H317" s="619">
        <f t="shared" si="184"/>
        <v>0</v>
      </c>
      <c r="I317" s="619">
        <f t="shared" si="184"/>
        <v>0</v>
      </c>
      <c r="J317" s="619">
        <f t="shared" si="184"/>
        <v>3572</v>
      </c>
      <c r="K317" s="619">
        <f t="shared" si="184"/>
        <v>0</v>
      </c>
      <c r="L317" s="619">
        <f t="shared" si="184"/>
        <v>3572</v>
      </c>
      <c r="M317" s="619">
        <f t="shared" si="184"/>
        <v>15223</v>
      </c>
      <c r="N317" s="619">
        <f t="shared" si="184"/>
        <v>3700</v>
      </c>
      <c r="O317" s="619">
        <f t="shared" si="184"/>
        <v>22495</v>
      </c>
    </row>
    <row r="318" spans="1:15" ht="16.5" thickTop="1" x14ac:dyDescent="0.25">
      <c r="A318" s="626" t="s">
        <v>17</v>
      </c>
      <c r="B318" s="635" t="s">
        <v>748</v>
      </c>
      <c r="C318" s="635"/>
      <c r="D318" s="635"/>
      <c r="E318" s="635"/>
      <c r="F318" s="635"/>
      <c r="G318" s="635"/>
      <c r="H318" s="635"/>
      <c r="I318" s="635"/>
      <c r="J318" s="635"/>
      <c r="K318" s="635"/>
      <c r="L318" s="635"/>
      <c r="M318" s="635"/>
      <c r="N318" s="635"/>
      <c r="O318" s="635"/>
    </row>
    <row r="319" spans="1:15" x14ac:dyDescent="0.25">
      <c r="A319" s="626"/>
      <c r="B319" s="624" t="s">
        <v>653</v>
      </c>
      <c r="C319" s="624">
        <v>17066</v>
      </c>
      <c r="D319" s="624"/>
      <c r="E319" s="624"/>
      <c r="F319" s="624">
        <v>4012</v>
      </c>
      <c r="G319" s="624"/>
      <c r="H319" s="624"/>
      <c r="I319" s="624"/>
      <c r="J319" s="624">
        <f>SUM(C319+E319+F319+H319)</f>
        <v>21078</v>
      </c>
      <c r="K319" s="624">
        <f>SUM(D319+G319+I319)</f>
        <v>0</v>
      </c>
      <c r="L319" s="624">
        <f>SUM(J319:K319)</f>
        <v>21078</v>
      </c>
      <c r="M319" s="624">
        <v>292299</v>
      </c>
      <c r="N319" s="624">
        <v>3079</v>
      </c>
      <c r="O319" s="624">
        <f>SUM(L319:N319)</f>
        <v>316456</v>
      </c>
    </row>
    <row r="320" spans="1:15" x14ac:dyDescent="0.25">
      <c r="A320" s="634"/>
      <c r="B320" s="625" t="s">
        <v>738</v>
      </c>
      <c r="C320" s="625">
        <v>17066</v>
      </c>
      <c r="D320" s="625"/>
      <c r="E320" s="625"/>
      <c r="F320" s="625">
        <v>4012</v>
      </c>
      <c r="G320" s="625"/>
      <c r="H320" s="625"/>
      <c r="I320" s="625"/>
      <c r="J320" s="632">
        <f>SUM(C320+E320+F320+H320)</f>
        <v>21078</v>
      </c>
      <c r="K320" s="632">
        <f>SUM(D320+G320+I320)</f>
        <v>0</v>
      </c>
      <c r="L320" s="632">
        <f>SUM(J320:K320)</f>
        <v>21078</v>
      </c>
      <c r="M320" s="632">
        <v>289864</v>
      </c>
      <c r="N320" s="632">
        <v>3079</v>
      </c>
      <c r="O320" s="632">
        <f>SUM(L320:N320)</f>
        <v>314021</v>
      </c>
    </row>
    <row r="321" spans="1:15" x14ac:dyDescent="0.25">
      <c r="A321" s="634"/>
      <c r="B321" s="625" t="s">
        <v>737</v>
      </c>
      <c r="C321" s="625"/>
      <c r="D321" s="625"/>
      <c r="E321" s="625"/>
      <c r="F321" s="625"/>
      <c r="G321" s="625"/>
      <c r="H321" s="625"/>
      <c r="I321" s="625"/>
      <c r="J321" s="625">
        <f>SUM(C321+E321+F321+H321)</f>
        <v>0</v>
      </c>
      <c r="K321" s="625">
        <f>SUM(D321+G321+I321)</f>
        <v>0</v>
      </c>
      <c r="L321" s="625">
        <f>SUM(J321:K321)</f>
        <v>0</v>
      </c>
      <c r="M321" s="625">
        <v>2435</v>
      </c>
      <c r="N321" s="625"/>
      <c r="O321" s="625">
        <f>SUM(L321:N321)</f>
        <v>2435</v>
      </c>
    </row>
    <row r="322" spans="1:15" x14ac:dyDescent="0.25">
      <c r="A322" s="634"/>
      <c r="B322" s="625" t="s">
        <v>178</v>
      </c>
      <c r="C322" s="625"/>
      <c r="D322" s="625"/>
      <c r="E322" s="625"/>
      <c r="F322" s="625"/>
      <c r="G322" s="625"/>
      <c r="H322" s="625"/>
      <c r="I322" s="625"/>
      <c r="J322" s="632"/>
      <c r="K322" s="632"/>
      <c r="L322" s="632"/>
      <c r="M322" s="632"/>
      <c r="N322" s="632"/>
      <c r="O322" s="632"/>
    </row>
    <row r="323" spans="1:15" x14ac:dyDescent="0.25">
      <c r="A323" s="634"/>
      <c r="B323" s="852" t="s">
        <v>1110</v>
      </c>
      <c r="C323" s="625"/>
      <c r="D323" s="625"/>
      <c r="E323" s="625"/>
      <c r="F323" s="625"/>
      <c r="G323" s="625"/>
      <c r="H323" s="625"/>
      <c r="I323" s="625"/>
      <c r="J323" s="852">
        <f t="shared" ref="J323:J329" si="185">SUM(C323+E323+F323+H323)</f>
        <v>0</v>
      </c>
      <c r="K323" s="852">
        <f t="shared" ref="K323:K329" si="186">SUM(D323+G323+I323)</f>
        <v>0</v>
      </c>
      <c r="L323" s="852">
        <f t="shared" ref="L323:L329" si="187">SUM(J323:K323)</f>
        <v>0</v>
      </c>
      <c r="M323" s="852">
        <v>1157</v>
      </c>
      <c r="N323" s="852"/>
      <c r="O323" s="852">
        <f t="shared" ref="O323:O329" si="188">SUM(L323:N323)</f>
        <v>1157</v>
      </c>
    </row>
    <row r="324" spans="1:15" s="631" customFormat="1" ht="31.5" x14ac:dyDescent="0.25">
      <c r="A324" s="634"/>
      <c r="B324" s="853" t="s">
        <v>1121</v>
      </c>
      <c r="C324" s="852"/>
      <c r="D324" s="625"/>
      <c r="E324" s="625"/>
      <c r="F324" s="625"/>
      <c r="G324" s="625"/>
      <c r="H324" s="625"/>
      <c r="I324" s="625"/>
      <c r="J324" s="852">
        <f t="shared" si="185"/>
        <v>0</v>
      </c>
      <c r="K324" s="852">
        <f t="shared" si="186"/>
        <v>0</v>
      </c>
      <c r="L324" s="852">
        <f t="shared" si="187"/>
        <v>0</v>
      </c>
      <c r="M324" s="852">
        <v>7348</v>
      </c>
      <c r="N324" s="852"/>
      <c r="O324" s="852">
        <f t="shared" si="188"/>
        <v>7348</v>
      </c>
    </row>
    <row r="325" spans="1:15" s="631" customFormat="1" x14ac:dyDescent="0.25">
      <c r="A325" s="634"/>
      <c r="B325" s="853" t="s">
        <v>942</v>
      </c>
      <c r="C325" s="852"/>
      <c r="D325" s="625"/>
      <c r="E325" s="625"/>
      <c r="F325" s="625"/>
      <c r="G325" s="625"/>
      <c r="H325" s="625"/>
      <c r="I325" s="625"/>
      <c r="J325" s="852">
        <f t="shared" si="185"/>
        <v>0</v>
      </c>
      <c r="K325" s="852">
        <f t="shared" si="186"/>
        <v>0</v>
      </c>
      <c r="L325" s="852">
        <f t="shared" si="187"/>
        <v>0</v>
      </c>
      <c r="M325" s="852">
        <v>2413</v>
      </c>
      <c r="N325" s="852"/>
      <c r="O325" s="852">
        <f t="shared" si="188"/>
        <v>2413</v>
      </c>
    </row>
    <row r="326" spans="1:15" s="631" customFormat="1" ht="31.5" x14ac:dyDescent="0.25">
      <c r="A326" s="634"/>
      <c r="B326" s="852" t="s">
        <v>941</v>
      </c>
      <c r="C326" s="852"/>
      <c r="D326" s="625"/>
      <c r="E326" s="625"/>
      <c r="F326" s="625"/>
      <c r="G326" s="625"/>
      <c r="H326" s="625"/>
      <c r="I326" s="625"/>
      <c r="J326" s="852">
        <f t="shared" si="185"/>
        <v>0</v>
      </c>
      <c r="K326" s="852">
        <f t="shared" si="186"/>
        <v>0</v>
      </c>
      <c r="L326" s="852">
        <f t="shared" si="187"/>
        <v>0</v>
      </c>
      <c r="M326" s="852">
        <v>164</v>
      </c>
      <c r="N326" s="852"/>
      <c r="O326" s="852">
        <f t="shared" si="188"/>
        <v>164</v>
      </c>
    </row>
    <row r="327" spans="1:15" s="631" customFormat="1" x14ac:dyDescent="0.25">
      <c r="A327" s="633"/>
      <c r="B327" s="629" t="s">
        <v>179</v>
      </c>
      <c r="C327" s="629"/>
      <c r="D327" s="629"/>
      <c r="E327" s="629"/>
      <c r="F327" s="629"/>
      <c r="G327" s="629"/>
      <c r="H327" s="629"/>
      <c r="I327" s="629"/>
      <c r="J327" s="853"/>
      <c r="K327" s="853"/>
      <c r="L327" s="853"/>
      <c r="M327" s="853"/>
      <c r="N327" s="853"/>
      <c r="O327" s="853"/>
    </row>
    <row r="328" spans="1:15" s="631" customFormat="1" x14ac:dyDescent="0.25">
      <c r="A328" s="633"/>
      <c r="B328" s="638" t="s">
        <v>1111</v>
      </c>
      <c r="C328" s="629"/>
      <c r="D328" s="629"/>
      <c r="E328" s="629"/>
      <c r="F328" s="629"/>
      <c r="G328" s="629"/>
      <c r="H328" s="629"/>
      <c r="I328" s="629"/>
      <c r="J328" s="853">
        <f t="shared" si="185"/>
        <v>0</v>
      </c>
      <c r="K328" s="853">
        <f t="shared" si="186"/>
        <v>0</v>
      </c>
      <c r="L328" s="853">
        <f t="shared" si="187"/>
        <v>0</v>
      </c>
      <c r="M328" s="853">
        <v>1877</v>
      </c>
      <c r="N328" s="853"/>
      <c r="O328" s="853">
        <f t="shared" si="188"/>
        <v>1877</v>
      </c>
    </row>
    <row r="329" spans="1:15" s="631" customFormat="1" ht="63.75" thickBot="1" x14ac:dyDescent="0.3">
      <c r="A329" s="634"/>
      <c r="B329" s="852" t="s">
        <v>1122</v>
      </c>
      <c r="C329" s="625"/>
      <c r="D329" s="625"/>
      <c r="E329" s="625"/>
      <c r="F329" s="625"/>
      <c r="G329" s="625"/>
      <c r="H329" s="625"/>
      <c r="I329" s="625"/>
      <c r="J329" s="852">
        <f t="shared" si="185"/>
        <v>0</v>
      </c>
      <c r="K329" s="852">
        <f t="shared" si="186"/>
        <v>0</v>
      </c>
      <c r="L329" s="852">
        <f t="shared" si="187"/>
        <v>0</v>
      </c>
      <c r="M329" s="852">
        <v>50</v>
      </c>
      <c r="N329" s="852"/>
      <c r="O329" s="852">
        <f t="shared" si="188"/>
        <v>50</v>
      </c>
    </row>
    <row r="330" spans="1:15" s="631" customFormat="1" ht="17.25" thickTop="1" thickBot="1" x14ac:dyDescent="0.3">
      <c r="A330" s="620"/>
      <c r="B330" s="619" t="s">
        <v>736</v>
      </c>
      <c r="C330" s="619">
        <f>+C319+C323+C324+C325+C328+C329+C326</f>
        <v>17066</v>
      </c>
      <c r="D330" s="619">
        <f t="shared" ref="D330:O330" si="189">+D319+D323+D324+D325+D328+D329+D326</f>
        <v>0</v>
      </c>
      <c r="E330" s="619">
        <f t="shared" si="189"/>
        <v>0</v>
      </c>
      <c r="F330" s="619">
        <f t="shared" si="189"/>
        <v>4012</v>
      </c>
      <c r="G330" s="619">
        <f t="shared" si="189"/>
        <v>0</v>
      </c>
      <c r="H330" s="619">
        <f t="shared" si="189"/>
        <v>0</v>
      </c>
      <c r="I330" s="619">
        <f t="shared" si="189"/>
        <v>0</v>
      </c>
      <c r="J330" s="619">
        <f t="shared" si="189"/>
        <v>21078</v>
      </c>
      <c r="K330" s="619">
        <f t="shared" si="189"/>
        <v>0</v>
      </c>
      <c r="L330" s="619">
        <f t="shared" si="189"/>
        <v>21078</v>
      </c>
      <c r="M330" s="619">
        <f t="shared" si="189"/>
        <v>305308</v>
      </c>
      <c r="N330" s="619">
        <f t="shared" si="189"/>
        <v>3079</v>
      </c>
      <c r="O330" s="619">
        <f t="shared" si="189"/>
        <v>329465</v>
      </c>
    </row>
    <row r="331" spans="1:15" s="631" customFormat="1" ht="17.25" thickTop="1" thickBot="1" x14ac:dyDescent="0.3">
      <c r="A331" s="620"/>
      <c r="B331" s="619" t="s">
        <v>735</v>
      </c>
      <c r="C331" s="619">
        <f>+C320+C323+C324+C325+C326</f>
        <v>17066</v>
      </c>
      <c r="D331" s="619">
        <f t="shared" ref="D331:O331" si="190">+D320+D323+D324+D325+D326</f>
        <v>0</v>
      </c>
      <c r="E331" s="619">
        <f t="shared" si="190"/>
        <v>0</v>
      </c>
      <c r="F331" s="619">
        <f t="shared" si="190"/>
        <v>4012</v>
      </c>
      <c r="G331" s="619">
        <f t="shared" si="190"/>
        <v>0</v>
      </c>
      <c r="H331" s="619">
        <f t="shared" si="190"/>
        <v>0</v>
      </c>
      <c r="I331" s="619">
        <f t="shared" si="190"/>
        <v>0</v>
      </c>
      <c r="J331" s="619">
        <f t="shared" si="190"/>
        <v>21078</v>
      </c>
      <c r="K331" s="619">
        <f t="shared" si="190"/>
        <v>0</v>
      </c>
      <c r="L331" s="619">
        <f t="shared" si="190"/>
        <v>21078</v>
      </c>
      <c r="M331" s="619">
        <f t="shared" si="190"/>
        <v>300946</v>
      </c>
      <c r="N331" s="619">
        <f t="shared" si="190"/>
        <v>3079</v>
      </c>
      <c r="O331" s="619">
        <f t="shared" si="190"/>
        <v>325103</v>
      </c>
    </row>
    <row r="332" spans="1:15" s="631" customFormat="1" ht="17.25" thickTop="1" thickBot="1" x14ac:dyDescent="0.3">
      <c r="A332" s="620"/>
      <c r="B332" s="619" t="s">
        <v>734</v>
      </c>
      <c r="C332" s="619">
        <f>+C321+C328+C329</f>
        <v>0</v>
      </c>
      <c r="D332" s="619">
        <f t="shared" ref="D332:O332" si="191">+D321+D328+D329</f>
        <v>0</v>
      </c>
      <c r="E332" s="619">
        <f t="shared" si="191"/>
        <v>0</v>
      </c>
      <c r="F332" s="619">
        <f t="shared" si="191"/>
        <v>0</v>
      </c>
      <c r="G332" s="619">
        <f t="shared" si="191"/>
        <v>0</v>
      </c>
      <c r="H332" s="619">
        <f t="shared" si="191"/>
        <v>0</v>
      </c>
      <c r="I332" s="619">
        <f t="shared" si="191"/>
        <v>0</v>
      </c>
      <c r="J332" s="619">
        <f t="shared" si="191"/>
        <v>0</v>
      </c>
      <c r="K332" s="619">
        <f t="shared" si="191"/>
        <v>0</v>
      </c>
      <c r="L332" s="619">
        <f t="shared" si="191"/>
        <v>0</v>
      </c>
      <c r="M332" s="619">
        <f t="shared" si="191"/>
        <v>4362</v>
      </c>
      <c r="N332" s="619">
        <f t="shared" si="191"/>
        <v>0</v>
      </c>
      <c r="O332" s="619">
        <f t="shared" si="191"/>
        <v>4362</v>
      </c>
    </row>
    <row r="333" spans="1:15" s="631" customFormat="1" ht="16.5" thickTop="1" x14ac:dyDescent="0.25">
      <c r="A333" s="626" t="s">
        <v>18</v>
      </c>
      <c r="B333" s="635" t="s">
        <v>747</v>
      </c>
      <c r="C333" s="635"/>
      <c r="D333" s="635"/>
      <c r="E333" s="635"/>
      <c r="F333" s="635"/>
      <c r="G333" s="635"/>
      <c r="H333" s="635"/>
      <c r="I333" s="635"/>
      <c r="J333" s="635"/>
      <c r="K333" s="635"/>
      <c r="L333" s="635"/>
      <c r="M333" s="635"/>
      <c r="N333" s="635"/>
      <c r="O333" s="635"/>
    </row>
    <row r="334" spans="1:15" s="631" customFormat="1" x14ac:dyDescent="0.25">
      <c r="A334" s="626"/>
      <c r="B334" s="624" t="s">
        <v>653</v>
      </c>
      <c r="C334" s="624">
        <v>18174</v>
      </c>
      <c r="D334" s="624"/>
      <c r="E334" s="624"/>
      <c r="F334" s="624">
        <v>89675</v>
      </c>
      <c r="G334" s="624"/>
      <c r="H334" s="624"/>
      <c r="I334" s="624"/>
      <c r="J334" s="624">
        <f>SUM(C334+E334+F334+H334)</f>
        <v>107849</v>
      </c>
      <c r="K334" s="624">
        <f>SUM(D334+G334+I334)</f>
        <v>0</v>
      </c>
      <c r="L334" s="624">
        <f>SUM(J334:K334)</f>
        <v>107849</v>
      </c>
      <c r="M334" s="624">
        <v>394064</v>
      </c>
      <c r="N334" s="624">
        <v>81019</v>
      </c>
      <c r="O334" s="624">
        <f>SUM(L334:N334)</f>
        <v>582932</v>
      </c>
    </row>
    <row r="335" spans="1:15" x14ac:dyDescent="0.25">
      <c r="A335" s="634"/>
      <c r="B335" s="625" t="s">
        <v>738</v>
      </c>
      <c r="C335" s="625">
        <v>18174</v>
      </c>
      <c r="D335" s="625"/>
      <c r="E335" s="625"/>
      <c r="F335" s="625">
        <v>89675</v>
      </c>
      <c r="G335" s="625"/>
      <c r="H335" s="625"/>
      <c r="I335" s="625"/>
      <c r="J335" s="632">
        <f>SUM(C335+E335+F335+H335)</f>
        <v>107849</v>
      </c>
      <c r="K335" s="632">
        <f>SUM(D335+G335+I335)</f>
        <v>0</v>
      </c>
      <c r="L335" s="632">
        <f>SUM(J335:K335)</f>
        <v>107849</v>
      </c>
      <c r="M335" s="632">
        <v>380459</v>
      </c>
      <c r="N335" s="632">
        <v>81019</v>
      </c>
      <c r="O335" s="632">
        <f>SUM(L335:N335)</f>
        <v>569327</v>
      </c>
    </row>
    <row r="336" spans="1:15" x14ac:dyDescent="0.25">
      <c r="A336" s="634"/>
      <c r="B336" s="625" t="s">
        <v>737</v>
      </c>
      <c r="C336" s="625"/>
      <c r="D336" s="625"/>
      <c r="E336" s="625"/>
      <c r="F336" s="625"/>
      <c r="G336" s="625"/>
      <c r="H336" s="625"/>
      <c r="I336" s="625"/>
      <c r="J336" s="625">
        <f>SUM(C336+E336+F336+H336)</f>
        <v>0</v>
      </c>
      <c r="K336" s="625">
        <f>SUM(D336+G336+I336)</f>
        <v>0</v>
      </c>
      <c r="L336" s="625">
        <f>SUM(J336:K336)</f>
        <v>0</v>
      </c>
      <c r="M336" s="625">
        <v>13605</v>
      </c>
      <c r="N336" s="625"/>
      <c r="O336" s="625">
        <f>SUM(L336:N336)</f>
        <v>13605</v>
      </c>
    </row>
    <row r="337" spans="1:15" x14ac:dyDescent="0.25">
      <c r="A337" s="626"/>
      <c r="B337" s="625" t="s">
        <v>178</v>
      </c>
      <c r="C337" s="625"/>
      <c r="D337" s="625"/>
      <c r="E337" s="625"/>
      <c r="F337" s="625"/>
      <c r="G337" s="625"/>
      <c r="H337" s="625"/>
      <c r="I337" s="625"/>
      <c r="J337" s="624"/>
      <c r="K337" s="624"/>
      <c r="L337" s="624"/>
      <c r="M337" s="624"/>
      <c r="N337" s="624"/>
      <c r="O337" s="624"/>
    </row>
    <row r="338" spans="1:15" x14ac:dyDescent="0.25">
      <c r="A338" s="626"/>
      <c r="B338" s="852" t="s">
        <v>1110</v>
      </c>
      <c r="C338" s="624"/>
      <c r="D338" s="624"/>
      <c r="E338" s="624"/>
      <c r="F338" s="624"/>
      <c r="G338" s="624"/>
      <c r="H338" s="624"/>
      <c r="I338" s="624"/>
      <c r="J338" s="624">
        <f t="shared" ref="J338:J343" si="192">SUM(C338+E338+F338+H338)</f>
        <v>0</v>
      </c>
      <c r="K338" s="624">
        <f t="shared" ref="K338:K343" si="193">SUM(D338+G338+I338)</f>
        <v>0</v>
      </c>
      <c r="L338" s="624">
        <f t="shared" ref="L338:L343" si="194">SUM(J338:K338)</f>
        <v>0</v>
      </c>
      <c r="M338" s="624">
        <v>894</v>
      </c>
      <c r="N338" s="624"/>
      <c r="O338" s="624">
        <f t="shared" ref="O338:O343" si="195">SUM(L338:N338)</f>
        <v>894</v>
      </c>
    </row>
    <row r="339" spans="1:15" x14ac:dyDescent="0.25">
      <c r="A339" s="626"/>
      <c r="B339" s="853" t="s">
        <v>942</v>
      </c>
      <c r="C339" s="624"/>
      <c r="D339" s="624"/>
      <c r="E339" s="624"/>
      <c r="F339" s="624"/>
      <c r="G339" s="624"/>
      <c r="H339" s="624"/>
      <c r="I339" s="624"/>
      <c r="J339" s="624">
        <f t="shared" si="192"/>
        <v>0</v>
      </c>
      <c r="K339" s="624">
        <f t="shared" si="193"/>
        <v>0</v>
      </c>
      <c r="L339" s="624">
        <f t="shared" si="194"/>
        <v>0</v>
      </c>
      <c r="M339" s="624">
        <v>491</v>
      </c>
      <c r="N339" s="624"/>
      <c r="O339" s="624">
        <f t="shared" si="195"/>
        <v>491</v>
      </c>
    </row>
    <row r="340" spans="1:15" s="631" customFormat="1" ht="31.5" x14ac:dyDescent="0.25">
      <c r="A340" s="626"/>
      <c r="B340" s="638" t="s">
        <v>1123</v>
      </c>
      <c r="C340" s="624">
        <v>1000</v>
      </c>
      <c r="D340" s="624"/>
      <c r="E340" s="624"/>
      <c r="F340" s="624"/>
      <c r="G340" s="624"/>
      <c r="H340" s="624"/>
      <c r="I340" s="624"/>
      <c r="J340" s="624">
        <f t="shared" si="192"/>
        <v>1000</v>
      </c>
      <c r="K340" s="624">
        <f t="shared" si="193"/>
        <v>0</v>
      </c>
      <c r="L340" s="624">
        <f t="shared" si="194"/>
        <v>1000</v>
      </c>
      <c r="M340" s="624">
        <v>-1000</v>
      </c>
      <c r="N340" s="624"/>
      <c r="O340" s="624">
        <f t="shared" si="195"/>
        <v>0</v>
      </c>
    </row>
    <row r="341" spans="1:15" s="631" customFormat="1" x14ac:dyDescent="0.25">
      <c r="A341" s="626"/>
      <c r="B341" s="637" t="s">
        <v>1124</v>
      </c>
      <c r="C341" s="624"/>
      <c r="D341" s="624"/>
      <c r="E341" s="624"/>
      <c r="F341" s="624"/>
      <c r="G341" s="624"/>
      <c r="H341" s="624"/>
      <c r="I341" s="624"/>
      <c r="J341" s="624">
        <f t="shared" si="192"/>
        <v>0</v>
      </c>
      <c r="K341" s="624">
        <f t="shared" si="193"/>
        <v>0</v>
      </c>
      <c r="L341" s="624">
        <f t="shared" si="194"/>
        <v>0</v>
      </c>
      <c r="M341" s="624">
        <v>713</v>
      </c>
      <c r="N341" s="624"/>
      <c r="O341" s="624">
        <f t="shared" si="195"/>
        <v>713</v>
      </c>
    </row>
    <row r="342" spans="1:15" s="631" customFormat="1" x14ac:dyDescent="0.25">
      <c r="A342" s="626"/>
      <c r="B342" s="637" t="s">
        <v>1125</v>
      </c>
      <c r="C342" s="624"/>
      <c r="D342" s="624"/>
      <c r="E342" s="624"/>
      <c r="F342" s="624"/>
      <c r="G342" s="624"/>
      <c r="H342" s="624"/>
      <c r="I342" s="624"/>
      <c r="J342" s="624">
        <f t="shared" si="192"/>
        <v>0</v>
      </c>
      <c r="K342" s="624">
        <f t="shared" si="193"/>
        <v>0</v>
      </c>
      <c r="L342" s="624">
        <f t="shared" si="194"/>
        <v>0</v>
      </c>
      <c r="M342" s="624">
        <v>20000</v>
      </c>
      <c r="N342" s="624"/>
      <c r="O342" s="624">
        <f t="shared" si="195"/>
        <v>20000</v>
      </c>
    </row>
    <row r="343" spans="1:15" s="631" customFormat="1" ht="31.5" x14ac:dyDescent="0.25">
      <c r="A343" s="626"/>
      <c r="B343" s="637" t="s">
        <v>1126</v>
      </c>
      <c r="C343" s="624"/>
      <c r="D343" s="624"/>
      <c r="E343" s="624"/>
      <c r="F343" s="624"/>
      <c r="G343" s="624"/>
      <c r="H343" s="624"/>
      <c r="I343" s="624"/>
      <c r="J343" s="624">
        <f t="shared" si="192"/>
        <v>0</v>
      </c>
      <c r="K343" s="624">
        <f t="shared" si="193"/>
        <v>0</v>
      </c>
      <c r="L343" s="624">
        <f t="shared" si="194"/>
        <v>0</v>
      </c>
      <c r="M343" s="624">
        <v>7214</v>
      </c>
      <c r="N343" s="624"/>
      <c r="O343" s="624">
        <f t="shared" si="195"/>
        <v>7214</v>
      </c>
    </row>
    <row r="344" spans="1:15" s="631" customFormat="1" x14ac:dyDescent="0.25">
      <c r="A344" s="626"/>
      <c r="B344" s="625" t="s">
        <v>179</v>
      </c>
      <c r="C344" s="625"/>
      <c r="D344" s="625"/>
      <c r="E344" s="625"/>
      <c r="F344" s="625"/>
      <c r="G344" s="625"/>
      <c r="H344" s="625"/>
      <c r="I344" s="625"/>
      <c r="J344" s="624"/>
      <c r="K344" s="624"/>
      <c r="L344" s="624"/>
      <c r="M344" s="624"/>
      <c r="N344" s="624"/>
      <c r="O344" s="624"/>
    </row>
    <row r="345" spans="1:15" s="631" customFormat="1" x14ac:dyDescent="0.25">
      <c r="A345" s="626"/>
      <c r="B345" s="637" t="s">
        <v>1111</v>
      </c>
      <c r="C345" s="624"/>
      <c r="D345" s="624"/>
      <c r="E345" s="624"/>
      <c r="F345" s="624"/>
      <c r="G345" s="624"/>
      <c r="H345" s="624"/>
      <c r="I345" s="624"/>
      <c r="J345" s="624">
        <f>SUM(C345+E345+F345+H345)</f>
        <v>0</v>
      </c>
      <c r="K345" s="624">
        <f>SUM(D345+G345+I345)</f>
        <v>0</v>
      </c>
      <c r="L345" s="624">
        <f>SUM(J345:K345)</f>
        <v>0</v>
      </c>
      <c r="M345" s="624">
        <v>1666</v>
      </c>
      <c r="N345" s="624"/>
      <c r="O345" s="624">
        <f>SUM(L345:N345)</f>
        <v>1666</v>
      </c>
    </row>
    <row r="346" spans="1:15" s="631" customFormat="1" ht="31.5" x14ac:dyDescent="0.25">
      <c r="A346" s="626"/>
      <c r="B346" s="852" t="s">
        <v>1120</v>
      </c>
      <c r="C346" s="624"/>
      <c r="D346" s="624"/>
      <c r="E346" s="624"/>
      <c r="F346" s="624">
        <v>4578</v>
      </c>
      <c r="G346" s="624"/>
      <c r="H346" s="624"/>
      <c r="I346" s="624"/>
      <c r="J346" s="624">
        <f>SUM(C346+E346+F346+H346)</f>
        <v>4578</v>
      </c>
      <c r="K346" s="624">
        <f>SUM(D346+G346+I346)</f>
        <v>0</v>
      </c>
      <c r="L346" s="624">
        <f>SUM(J346:K346)</f>
        <v>4578</v>
      </c>
      <c r="M346" s="624">
        <v>46954</v>
      </c>
      <c r="N346" s="624"/>
      <c r="O346" s="624">
        <f>SUM(L346:N346)</f>
        <v>51532</v>
      </c>
    </row>
    <row r="347" spans="1:15" s="631" customFormat="1" ht="32.25" thickBot="1" x14ac:dyDescent="0.3">
      <c r="A347" s="626"/>
      <c r="B347" s="852" t="s">
        <v>1117</v>
      </c>
      <c r="C347" s="624">
        <v>4774</v>
      </c>
      <c r="D347" s="624"/>
      <c r="E347" s="624"/>
      <c r="F347" s="624"/>
      <c r="G347" s="624"/>
      <c r="H347" s="624">
        <v>1249</v>
      </c>
      <c r="I347" s="624"/>
      <c r="J347" s="624">
        <f>SUM(C347+E347+F347+H347)</f>
        <v>6023</v>
      </c>
      <c r="K347" s="624">
        <f>SUM(D347+G347+I347)</f>
        <v>0</v>
      </c>
      <c r="L347" s="624">
        <f>SUM(J347:K347)</f>
        <v>6023</v>
      </c>
      <c r="M347" s="624"/>
      <c r="N347" s="624"/>
      <c r="O347" s="624">
        <f>SUM(L347:N347)</f>
        <v>6023</v>
      </c>
    </row>
    <row r="348" spans="1:15" s="631" customFormat="1" ht="17.25" thickTop="1" thickBot="1" x14ac:dyDescent="0.3">
      <c r="A348" s="620"/>
      <c r="B348" s="619" t="s">
        <v>736</v>
      </c>
      <c r="C348" s="619">
        <f>+C334+C338+C339+C345+C340+C346+C347+C341+C342+C343</f>
        <v>23948</v>
      </c>
      <c r="D348" s="619">
        <f t="shared" ref="D348:O348" si="196">+D334+D338+D339+D345+D340+D346+D347+D341+D342+D343</f>
        <v>0</v>
      </c>
      <c r="E348" s="619">
        <f t="shared" si="196"/>
        <v>0</v>
      </c>
      <c r="F348" s="619">
        <f t="shared" si="196"/>
        <v>94253</v>
      </c>
      <c r="G348" s="619">
        <f t="shared" si="196"/>
        <v>0</v>
      </c>
      <c r="H348" s="619">
        <f t="shared" si="196"/>
        <v>1249</v>
      </c>
      <c r="I348" s="619">
        <f t="shared" si="196"/>
        <v>0</v>
      </c>
      <c r="J348" s="619">
        <f t="shared" si="196"/>
        <v>119450</v>
      </c>
      <c r="K348" s="619">
        <f t="shared" si="196"/>
        <v>0</v>
      </c>
      <c r="L348" s="619">
        <f t="shared" si="196"/>
        <v>119450</v>
      </c>
      <c r="M348" s="619">
        <f t="shared" si="196"/>
        <v>470996</v>
      </c>
      <c r="N348" s="619">
        <f t="shared" si="196"/>
        <v>81019</v>
      </c>
      <c r="O348" s="619">
        <f t="shared" si="196"/>
        <v>671465</v>
      </c>
    </row>
    <row r="349" spans="1:15" s="631" customFormat="1" ht="17.25" thickTop="1" thickBot="1" x14ac:dyDescent="0.3">
      <c r="A349" s="620"/>
      <c r="B349" s="619" t="s">
        <v>735</v>
      </c>
      <c r="C349" s="619">
        <f>+C335+C338+C339+C340+C341+C342+C343</f>
        <v>19174</v>
      </c>
      <c r="D349" s="619">
        <f t="shared" ref="D349:O349" si="197">+D335+D338+D339+D340+D341+D342+D343</f>
        <v>0</v>
      </c>
      <c r="E349" s="619">
        <f t="shared" si="197"/>
        <v>0</v>
      </c>
      <c r="F349" s="619">
        <f t="shared" si="197"/>
        <v>89675</v>
      </c>
      <c r="G349" s="619">
        <f t="shared" si="197"/>
        <v>0</v>
      </c>
      <c r="H349" s="619">
        <f t="shared" si="197"/>
        <v>0</v>
      </c>
      <c r="I349" s="619">
        <f t="shared" si="197"/>
        <v>0</v>
      </c>
      <c r="J349" s="619">
        <f t="shared" si="197"/>
        <v>108849</v>
      </c>
      <c r="K349" s="619">
        <f t="shared" si="197"/>
        <v>0</v>
      </c>
      <c r="L349" s="619">
        <f t="shared" si="197"/>
        <v>108849</v>
      </c>
      <c r="M349" s="619">
        <f t="shared" si="197"/>
        <v>408771</v>
      </c>
      <c r="N349" s="619">
        <f t="shared" si="197"/>
        <v>81019</v>
      </c>
      <c r="O349" s="619">
        <f t="shared" si="197"/>
        <v>598639</v>
      </c>
    </row>
    <row r="350" spans="1:15" s="631" customFormat="1" ht="17.25" thickTop="1" thickBot="1" x14ac:dyDescent="0.3">
      <c r="A350" s="626"/>
      <c r="B350" s="619" t="s">
        <v>734</v>
      </c>
      <c r="C350" s="619">
        <f>+C336+C345+C346+C347</f>
        <v>4774</v>
      </c>
      <c r="D350" s="619">
        <f t="shared" ref="D350:O350" si="198">+D336+D345+D346+D347</f>
        <v>0</v>
      </c>
      <c r="E350" s="619">
        <f t="shared" si="198"/>
        <v>0</v>
      </c>
      <c r="F350" s="619">
        <f t="shared" si="198"/>
        <v>4578</v>
      </c>
      <c r="G350" s="619">
        <f t="shared" si="198"/>
        <v>0</v>
      </c>
      <c r="H350" s="619">
        <f t="shared" si="198"/>
        <v>1249</v>
      </c>
      <c r="I350" s="619">
        <f t="shared" si="198"/>
        <v>0</v>
      </c>
      <c r="J350" s="619">
        <f t="shared" si="198"/>
        <v>10601</v>
      </c>
      <c r="K350" s="619">
        <f t="shared" si="198"/>
        <v>0</v>
      </c>
      <c r="L350" s="619">
        <f t="shared" si="198"/>
        <v>10601</v>
      </c>
      <c r="M350" s="619">
        <f t="shared" si="198"/>
        <v>62225</v>
      </c>
      <c r="N350" s="619">
        <f t="shared" si="198"/>
        <v>0</v>
      </c>
      <c r="O350" s="619">
        <f t="shared" si="198"/>
        <v>72826</v>
      </c>
    </row>
    <row r="351" spans="1:15" ht="16.5" thickTop="1" x14ac:dyDescent="0.25">
      <c r="A351" s="630" t="s">
        <v>19</v>
      </c>
      <c r="B351" s="635" t="s">
        <v>746</v>
      </c>
      <c r="C351" s="635"/>
      <c r="D351" s="635"/>
      <c r="E351" s="635"/>
      <c r="F351" s="635"/>
      <c r="G351" s="635"/>
      <c r="H351" s="635"/>
      <c r="I351" s="635"/>
      <c r="J351" s="635"/>
      <c r="K351" s="635"/>
      <c r="L351" s="635"/>
      <c r="M351" s="635"/>
      <c r="N351" s="635"/>
      <c r="O351" s="635"/>
    </row>
    <row r="352" spans="1:15" x14ac:dyDescent="0.25">
      <c r="A352" s="630"/>
      <c r="B352" s="628" t="s">
        <v>653</v>
      </c>
      <c r="C352" s="628">
        <v>5377</v>
      </c>
      <c r="D352" s="628"/>
      <c r="E352" s="628"/>
      <c r="F352" s="628">
        <v>35000</v>
      </c>
      <c r="G352" s="628"/>
      <c r="H352" s="628"/>
      <c r="I352" s="628"/>
      <c r="J352" s="624">
        <f>SUM(C352+E352+F352+H352)</f>
        <v>40377</v>
      </c>
      <c r="K352" s="624">
        <f>SUM(D352+G352+I352)</f>
        <v>0</v>
      </c>
      <c r="L352" s="624">
        <f>SUM(J352:K352)</f>
        <v>40377</v>
      </c>
      <c r="M352" s="624">
        <v>130518</v>
      </c>
      <c r="N352" s="624">
        <v>2234</v>
      </c>
      <c r="O352" s="624">
        <f>SUM(L352:N352)</f>
        <v>173129</v>
      </c>
    </row>
    <row r="353" spans="1:15" x14ac:dyDescent="0.25">
      <c r="A353" s="633"/>
      <c r="B353" s="625" t="s">
        <v>744</v>
      </c>
      <c r="C353" s="625">
        <v>5377</v>
      </c>
      <c r="D353" s="625"/>
      <c r="E353" s="625"/>
      <c r="F353" s="625">
        <v>35000</v>
      </c>
      <c r="G353" s="625"/>
      <c r="H353" s="625"/>
      <c r="I353" s="625"/>
      <c r="J353" s="632">
        <f>SUM(C353+E353+F353+H353)</f>
        <v>40377</v>
      </c>
      <c r="K353" s="632">
        <f>SUM(D353+G353+I353)</f>
        <v>0</v>
      </c>
      <c r="L353" s="632">
        <f>SUM(J353:K353)</f>
        <v>40377</v>
      </c>
      <c r="M353" s="632">
        <v>130518</v>
      </c>
      <c r="N353" s="632">
        <v>2234</v>
      </c>
      <c r="O353" s="632">
        <f>SUM(L353:N353)</f>
        <v>173129</v>
      </c>
    </row>
    <row r="354" spans="1:15" x14ac:dyDescent="0.25">
      <c r="A354" s="630"/>
      <c r="B354" s="629" t="s">
        <v>179</v>
      </c>
      <c r="C354" s="628"/>
      <c r="D354" s="628"/>
      <c r="E354" s="628"/>
      <c r="F354" s="628"/>
      <c r="G354" s="628"/>
      <c r="H354" s="628"/>
      <c r="I354" s="628"/>
      <c r="J354" s="624"/>
      <c r="K354" s="624"/>
      <c r="L354" s="624"/>
      <c r="M354" s="624"/>
      <c r="N354" s="624"/>
      <c r="O354" s="624"/>
    </row>
    <row r="355" spans="1:15" x14ac:dyDescent="0.25">
      <c r="A355" s="633"/>
      <c r="B355" s="637" t="s">
        <v>1111</v>
      </c>
      <c r="C355" s="852"/>
      <c r="D355" s="625"/>
      <c r="E355" s="625"/>
      <c r="F355" s="625"/>
      <c r="G355" s="625"/>
      <c r="H355" s="625"/>
      <c r="I355" s="625"/>
      <c r="J355" s="852">
        <f t="shared" ref="J355:J358" si="199">SUM(C355+E355+F355+H355)</f>
        <v>0</v>
      </c>
      <c r="K355" s="852">
        <f t="shared" ref="K355:K358" si="200">SUM(D355+G355+I355)</f>
        <v>0</v>
      </c>
      <c r="L355" s="852">
        <f t="shared" ref="L355:L358" si="201">SUM(J355:K355)</f>
        <v>0</v>
      </c>
      <c r="M355" s="852">
        <v>347</v>
      </c>
      <c r="N355" s="852"/>
      <c r="O355" s="852">
        <f t="shared" ref="O355:O358" si="202">SUM(L355:N355)</f>
        <v>347</v>
      </c>
    </row>
    <row r="356" spans="1:15" s="631" customFormat="1" ht="31.5" x14ac:dyDescent="0.25">
      <c r="A356" s="630"/>
      <c r="B356" s="637" t="s">
        <v>1123</v>
      </c>
      <c r="C356" s="628">
        <v>6000</v>
      </c>
      <c r="D356" s="628"/>
      <c r="E356" s="628"/>
      <c r="F356" s="628"/>
      <c r="G356" s="628"/>
      <c r="H356" s="628"/>
      <c r="I356" s="628"/>
      <c r="J356" s="852">
        <f t="shared" si="199"/>
        <v>6000</v>
      </c>
      <c r="K356" s="852">
        <f t="shared" si="200"/>
        <v>0</v>
      </c>
      <c r="L356" s="852">
        <f t="shared" si="201"/>
        <v>6000</v>
      </c>
      <c r="M356" s="852">
        <v>-6000</v>
      </c>
      <c r="N356" s="852"/>
      <c r="O356" s="852">
        <f t="shared" si="202"/>
        <v>0</v>
      </c>
    </row>
    <row r="357" spans="1:15" s="631" customFormat="1" ht="31.5" x14ac:dyDescent="0.25">
      <c r="A357" s="633"/>
      <c r="B357" s="852" t="s">
        <v>1117</v>
      </c>
      <c r="C357" s="625"/>
      <c r="D357" s="625"/>
      <c r="E357" s="625"/>
      <c r="F357" s="625"/>
      <c r="G357" s="625"/>
      <c r="H357" s="852">
        <v>6748</v>
      </c>
      <c r="I357" s="625"/>
      <c r="J357" s="852">
        <f t="shared" si="199"/>
        <v>6748</v>
      </c>
      <c r="K357" s="852">
        <f t="shared" si="200"/>
        <v>0</v>
      </c>
      <c r="L357" s="852">
        <f t="shared" si="201"/>
        <v>6748</v>
      </c>
      <c r="M357" s="852"/>
      <c r="N357" s="852"/>
      <c r="O357" s="852">
        <f t="shared" si="202"/>
        <v>6748</v>
      </c>
    </row>
    <row r="358" spans="1:15" s="631" customFormat="1" ht="16.5" thickBot="1" x14ac:dyDescent="0.3">
      <c r="A358" s="633"/>
      <c r="B358" s="852" t="s">
        <v>1127</v>
      </c>
      <c r="C358" s="625"/>
      <c r="D358" s="625"/>
      <c r="E358" s="625"/>
      <c r="F358" s="625"/>
      <c r="G358" s="625"/>
      <c r="H358" s="852"/>
      <c r="I358" s="625"/>
      <c r="J358" s="852">
        <f t="shared" si="199"/>
        <v>0</v>
      </c>
      <c r="K358" s="852">
        <f t="shared" si="200"/>
        <v>0</v>
      </c>
      <c r="L358" s="852">
        <f t="shared" si="201"/>
        <v>0</v>
      </c>
      <c r="M358" s="852">
        <v>5000</v>
      </c>
      <c r="N358" s="852"/>
      <c r="O358" s="852">
        <f t="shared" si="202"/>
        <v>5000</v>
      </c>
    </row>
    <row r="359" spans="1:15" s="631" customFormat="1" ht="17.25" thickTop="1" thickBot="1" x14ac:dyDescent="0.3">
      <c r="A359" s="620"/>
      <c r="B359" s="619" t="s">
        <v>736</v>
      </c>
      <c r="C359" s="619">
        <f>+C352+C355+C356+C357+C358</f>
        <v>11377</v>
      </c>
      <c r="D359" s="619">
        <f t="shared" ref="D359:O359" si="203">+D352+D355+D356+D357+D358</f>
        <v>0</v>
      </c>
      <c r="E359" s="619">
        <f t="shared" si="203"/>
        <v>0</v>
      </c>
      <c r="F359" s="619">
        <f t="shared" si="203"/>
        <v>35000</v>
      </c>
      <c r="G359" s="619">
        <f t="shared" si="203"/>
        <v>0</v>
      </c>
      <c r="H359" s="619">
        <f t="shared" si="203"/>
        <v>6748</v>
      </c>
      <c r="I359" s="619">
        <f t="shared" si="203"/>
        <v>0</v>
      </c>
      <c r="J359" s="619">
        <f t="shared" si="203"/>
        <v>53125</v>
      </c>
      <c r="K359" s="619">
        <f t="shared" si="203"/>
        <v>0</v>
      </c>
      <c r="L359" s="619">
        <f t="shared" si="203"/>
        <v>53125</v>
      </c>
      <c r="M359" s="619">
        <f t="shared" si="203"/>
        <v>129865</v>
      </c>
      <c r="N359" s="619">
        <f t="shared" si="203"/>
        <v>2234</v>
      </c>
      <c r="O359" s="619">
        <f t="shared" si="203"/>
        <v>185224</v>
      </c>
    </row>
    <row r="360" spans="1:15" s="631" customFormat="1" ht="17.25" thickTop="1" thickBot="1" x14ac:dyDescent="0.3">
      <c r="A360" s="620"/>
      <c r="B360" s="619" t="s">
        <v>743</v>
      </c>
      <c r="C360" s="619">
        <f>+C353+C355+C356+C357+C358</f>
        <v>11377</v>
      </c>
      <c r="D360" s="619">
        <f t="shared" ref="D360:O360" si="204">+D353+D355+D356+D357+D358</f>
        <v>0</v>
      </c>
      <c r="E360" s="619">
        <f t="shared" si="204"/>
        <v>0</v>
      </c>
      <c r="F360" s="619">
        <f t="shared" si="204"/>
        <v>35000</v>
      </c>
      <c r="G360" s="619">
        <f t="shared" si="204"/>
        <v>0</v>
      </c>
      <c r="H360" s="619">
        <f t="shared" si="204"/>
        <v>6748</v>
      </c>
      <c r="I360" s="619">
        <f t="shared" si="204"/>
        <v>0</v>
      </c>
      <c r="J360" s="619">
        <f t="shared" si="204"/>
        <v>53125</v>
      </c>
      <c r="K360" s="619">
        <f t="shared" si="204"/>
        <v>0</v>
      </c>
      <c r="L360" s="619">
        <f t="shared" si="204"/>
        <v>53125</v>
      </c>
      <c r="M360" s="619">
        <f t="shared" si="204"/>
        <v>129865</v>
      </c>
      <c r="N360" s="619">
        <f t="shared" si="204"/>
        <v>2234</v>
      </c>
      <c r="O360" s="619">
        <f t="shared" si="204"/>
        <v>185224</v>
      </c>
    </row>
    <row r="361" spans="1:15" s="631" customFormat="1" ht="16.5" thickTop="1" x14ac:dyDescent="0.25">
      <c r="A361" s="626" t="s">
        <v>20</v>
      </c>
      <c r="B361" s="635" t="s">
        <v>745</v>
      </c>
      <c r="C361" s="635"/>
      <c r="D361" s="635"/>
      <c r="E361" s="635"/>
      <c r="F361" s="635"/>
      <c r="G361" s="635"/>
      <c r="H361" s="635"/>
      <c r="I361" s="635"/>
      <c r="J361" s="635"/>
      <c r="K361" s="635"/>
      <c r="L361" s="635"/>
      <c r="M361" s="635"/>
      <c r="N361" s="635"/>
      <c r="O361" s="635"/>
    </row>
    <row r="362" spans="1:15" s="631" customFormat="1" x14ac:dyDescent="0.25">
      <c r="A362" s="630"/>
      <c r="B362" s="628" t="s">
        <v>653</v>
      </c>
      <c r="C362" s="628">
        <v>56400</v>
      </c>
      <c r="D362" s="628"/>
      <c r="E362" s="628"/>
      <c r="F362" s="628">
        <v>304820</v>
      </c>
      <c r="G362" s="628"/>
      <c r="H362" s="628">
        <v>155222</v>
      </c>
      <c r="I362" s="628"/>
      <c r="J362" s="624">
        <f>SUM(C362+E362+F362+H362)</f>
        <v>516442</v>
      </c>
      <c r="K362" s="624">
        <f>SUM(D362+G362+I362)</f>
        <v>0</v>
      </c>
      <c r="L362" s="624">
        <f>SUM(J362:K362)</f>
        <v>516442</v>
      </c>
      <c r="M362" s="624">
        <v>644492</v>
      </c>
      <c r="N362" s="624">
        <v>9307</v>
      </c>
      <c r="O362" s="624">
        <f>SUM(L362:N362)</f>
        <v>1170241</v>
      </c>
    </row>
    <row r="363" spans="1:15" s="631" customFormat="1" x14ac:dyDescent="0.25">
      <c r="A363" s="633"/>
      <c r="B363" s="629" t="s">
        <v>744</v>
      </c>
      <c r="C363" s="629">
        <v>56400</v>
      </c>
      <c r="D363" s="629"/>
      <c r="E363" s="629"/>
      <c r="F363" s="629">
        <v>304820</v>
      </c>
      <c r="G363" s="629"/>
      <c r="H363" s="629">
        <v>155222</v>
      </c>
      <c r="I363" s="629"/>
      <c r="J363" s="645">
        <f>SUM(C363+E363+F363+H363)</f>
        <v>516442</v>
      </c>
      <c r="K363" s="645">
        <f>SUM(D363+G363+I363)</f>
        <v>0</v>
      </c>
      <c r="L363" s="645">
        <f>SUM(J363:K363)</f>
        <v>516442</v>
      </c>
      <c r="M363" s="645">
        <v>644492</v>
      </c>
      <c r="N363" s="645">
        <v>9307</v>
      </c>
      <c r="O363" s="645">
        <f>SUM(L363:N363)</f>
        <v>1170241</v>
      </c>
    </row>
    <row r="364" spans="1:15" s="631" customFormat="1" x14ac:dyDescent="0.25">
      <c r="A364" s="630"/>
      <c r="B364" s="629" t="s">
        <v>179</v>
      </c>
      <c r="C364" s="628"/>
      <c r="D364" s="628"/>
      <c r="E364" s="628"/>
      <c r="F364" s="628"/>
      <c r="G364" s="628"/>
      <c r="H364" s="628"/>
      <c r="I364" s="628"/>
      <c r="J364" s="628"/>
      <c r="K364" s="628"/>
      <c r="L364" s="628"/>
      <c r="M364" s="628"/>
      <c r="N364" s="628"/>
      <c r="O364" s="628"/>
    </row>
    <row r="365" spans="1:15" s="631" customFormat="1" x14ac:dyDescent="0.25">
      <c r="A365" s="633"/>
      <c r="B365" s="852" t="s">
        <v>1110</v>
      </c>
      <c r="C365" s="625"/>
      <c r="D365" s="625"/>
      <c r="E365" s="625"/>
      <c r="F365" s="625"/>
      <c r="G365" s="625"/>
      <c r="H365" s="625"/>
      <c r="I365" s="625"/>
      <c r="J365" s="852">
        <f t="shared" ref="J365:J370" si="205">SUM(C365+E365+F365+H365)</f>
        <v>0</v>
      </c>
      <c r="K365" s="852">
        <f t="shared" ref="K365:K370" si="206">SUM(D365+G365+I365)</f>
        <v>0</v>
      </c>
      <c r="L365" s="852">
        <f t="shared" ref="L365:L370" si="207">SUM(J365:K365)</f>
        <v>0</v>
      </c>
      <c r="M365" s="852">
        <v>1509</v>
      </c>
      <c r="N365" s="852"/>
      <c r="O365" s="852">
        <f t="shared" ref="O365:O370" si="208">SUM(L365:N365)</f>
        <v>1509</v>
      </c>
    </row>
    <row r="366" spans="1:15" s="631" customFormat="1" x14ac:dyDescent="0.25">
      <c r="A366" s="630"/>
      <c r="B366" s="637" t="s">
        <v>1111</v>
      </c>
      <c r="C366" s="628"/>
      <c r="D366" s="628"/>
      <c r="E366" s="628"/>
      <c r="F366" s="628"/>
      <c r="G366" s="628"/>
      <c r="H366" s="628"/>
      <c r="I366" s="628"/>
      <c r="J366" s="852">
        <f t="shared" si="205"/>
        <v>0</v>
      </c>
      <c r="K366" s="852">
        <f t="shared" si="206"/>
        <v>0</v>
      </c>
      <c r="L366" s="852">
        <f t="shared" si="207"/>
        <v>0</v>
      </c>
      <c r="M366" s="852">
        <v>2487</v>
      </c>
      <c r="N366" s="852"/>
      <c r="O366" s="852">
        <f t="shared" si="208"/>
        <v>2487</v>
      </c>
    </row>
    <row r="367" spans="1:15" ht="31.5" x14ac:dyDescent="0.25">
      <c r="A367" s="633"/>
      <c r="B367" s="637" t="s">
        <v>941</v>
      </c>
      <c r="C367" s="625"/>
      <c r="D367" s="625"/>
      <c r="E367" s="625"/>
      <c r="F367" s="625"/>
      <c r="G367" s="625"/>
      <c r="H367" s="625"/>
      <c r="I367" s="625"/>
      <c r="J367" s="852">
        <f t="shared" si="205"/>
        <v>0</v>
      </c>
      <c r="K367" s="852">
        <f t="shared" si="206"/>
        <v>0</v>
      </c>
      <c r="L367" s="852">
        <f t="shared" si="207"/>
        <v>0</v>
      </c>
      <c r="M367" s="852">
        <v>141</v>
      </c>
      <c r="N367" s="852"/>
      <c r="O367" s="852">
        <f t="shared" si="208"/>
        <v>141</v>
      </c>
    </row>
    <row r="368" spans="1:15" ht="63" x14ac:dyDescent="0.25">
      <c r="A368" s="633"/>
      <c r="B368" s="637" t="s">
        <v>1128</v>
      </c>
      <c r="C368" s="625"/>
      <c r="D368" s="625"/>
      <c r="E368" s="625"/>
      <c r="F368" s="625"/>
      <c r="G368" s="625"/>
      <c r="H368" s="625"/>
      <c r="I368" s="625"/>
      <c r="J368" s="852">
        <f t="shared" si="205"/>
        <v>0</v>
      </c>
      <c r="K368" s="852">
        <f t="shared" si="206"/>
        <v>0</v>
      </c>
      <c r="L368" s="852">
        <f t="shared" si="207"/>
        <v>0</v>
      </c>
      <c r="M368" s="852">
        <v>482</v>
      </c>
      <c r="N368" s="852"/>
      <c r="O368" s="852">
        <f t="shared" si="208"/>
        <v>482</v>
      </c>
    </row>
    <row r="369" spans="1:15" ht="31.5" x14ac:dyDescent="0.25">
      <c r="A369" s="633"/>
      <c r="B369" s="637" t="s">
        <v>1129</v>
      </c>
      <c r="C369" s="625"/>
      <c r="D369" s="625"/>
      <c r="E369" s="625"/>
      <c r="F369" s="625"/>
      <c r="G369" s="625"/>
      <c r="H369" s="625"/>
      <c r="I369" s="625"/>
      <c r="J369" s="852">
        <f t="shared" si="205"/>
        <v>0</v>
      </c>
      <c r="K369" s="852">
        <f t="shared" si="206"/>
        <v>0</v>
      </c>
      <c r="L369" s="852">
        <f t="shared" si="207"/>
        <v>0</v>
      </c>
      <c r="M369" s="852">
        <v>244</v>
      </c>
      <c r="N369" s="852"/>
      <c r="O369" s="852">
        <f t="shared" si="208"/>
        <v>244</v>
      </c>
    </row>
    <row r="370" spans="1:15" ht="32.25" thickBot="1" x14ac:dyDescent="0.3">
      <c r="A370" s="633"/>
      <c r="B370" s="852" t="s">
        <v>1117</v>
      </c>
      <c r="C370" s="852">
        <v>3500</v>
      </c>
      <c r="D370" s="625"/>
      <c r="E370" s="625"/>
      <c r="F370" s="625"/>
      <c r="G370" s="625"/>
      <c r="H370" s="625"/>
      <c r="I370" s="625"/>
      <c r="J370" s="852">
        <f t="shared" si="205"/>
        <v>3500</v>
      </c>
      <c r="K370" s="852">
        <f t="shared" si="206"/>
        <v>0</v>
      </c>
      <c r="L370" s="852">
        <f t="shared" si="207"/>
        <v>3500</v>
      </c>
      <c r="M370" s="852"/>
      <c r="N370" s="852"/>
      <c r="O370" s="852">
        <f t="shared" si="208"/>
        <v>3500</v>
      </c>
    </row>
    <row r="371" spans="1:15" ht="17.25" thickTop="1" thickBot="1" x14ac:dyDescent="0.3">
      <c r="A371" s="620"/>
      <c r="B371" s="619" t="s">
        <v>736</v>
      </c>
      <c r="C371" s="619">
        <f>+C362+C365+C366+C367+C368+C369+C370</f>
        <v>59900</v>
      </c>
      <c r="D371" s="619">
        <f t="shared" ref="D371:O371" si="209">+D362+D365+D366+D367+D368+D369+D370</f>
        <v>0</v>
      </c>
      <c r="E371" s="619">
        <f t="shared" si="209"/>
        <v>0</v>
      </c>
      <c r="F371" s="619">
        <f t="shared" si="209"/>
        <v>304820</v>
      </c>
      <c r="G371" s="619">
        <f t="shared" si="209"/>
        <v>0</v>
      </c>
      <c r="H371" s="619">
        <f t="shared" si="209"/>
        <v>155222</v>
      </c>
      <c r="I371" s="619">
        <f t="shared" si="209"/>
        <v>0</v>
      </c>
      <c r="J371" s="619">
        <f t="shared" si="209"/>
        <v>519942</v>
      </c>
      <c r="K371" s="619">
        <f t="shared" si="209"/>
        <v>0</v>
      </c>
      <c r="L371" s="619">
        <f t="shared" si="209"/>
        <v>519942</v>
      </c>
      <c r="M371" s="619">
        <f t="shared" si="209"/>
        <v>649355</v>
      </c>
      <c r="N371" s="619">
        <f t="shared" si="209"/>
        <v>9307</v>
      </c>
      <c r="O371" s="619">
        <f t="shared" si="209"/>
        <v>1178604</v>
      </c>
    </row>
    <row r="372" spans="1:15" ht="17.25" thickTop="1" thickBot="1" x14ac:dyDescent="0.3">
      <c r="A372" s="620"/>
      <c r="B372" s="619" t="s">
        <v>743</v>
      </c>
      <c r="C372" s="619">
        <f>+C363+C365+C366+C367+C368+C369+C370</f>
        <v>59900</v>
      </c>
      <c r="D372" s="619">
        <f t="shared" ref="D372:O372" si="210">+D363+D365+D366+D367+D368+D369+D370</f>
        <v>0</v>
      </c>
      <c r="E372" s="619">
        <f t="shared" si="210"/>
        <v>0</v>
      </c>
      <c r="F372" s="619">
        <f t="shared" si="210"/>
        <v>304820</v>
      </c>
      <c r="G372" s="619">
        <f t="shared" si="210"/>
        <v>0</v>
      </c>
      <c r="H372" s="619">
        <f t="shared" si="210"/>
        <v>155222</v>
      </c>
      <c r="I372" s="619">
        <f t="shared" si="210"/>
        <v>0</v>
      </c>
      <c r="J372" s="619">
        <f t="shared" si="210"/>
        <v>519942</v>
      </c>
      <c r="K372" s="619">
        <f t="shared" si="210"/>
        <v>0</v>
      </c>
      <c r="L372" s="619">
        <f t="shared" si="210"/>
        <v>519942</v>
      </c>
      <c r="M372" s="619">
        <f t="shared" si="210"/>
        <v>649355</v>
      </c>
      <c r="N372" s="619">
        <f t="shared" si="210"/>
        <v>9307</v>
      </c>
      <c r="O372" s="619">
        <f t="shared" si="210"/>
        <v>1178604</v>
      </c>
    </row>
    <row r="373" spans="1:15" s="631" customFormat="1" ht="16.5" thickTop="1" x14ac:dyDescent="0.25">
      <c r="A373" s="626" t="s">
        <v>21</v>
      </c>
      <c r="B373" s="635" t="s">
        <v>742</v>
      </c>
      <c r="C373" s="635"/>
      <c r="D373" s="635"/>
      <c r="E373" s="635"/>
      <c r="F373" s="635"/>
      <c r="G373" s="635"/>
      <c r="H373" s="635"/>
      <c r="I373" s="635"/>
      <c r="J373" s="635"/>
      <c r="K373" s="635"/>
      <c r="L373" s="635"/>
      <c r="M373" s="635"/>
      <c r="N373" s="635"/>
      <c r="O373" s="635"/>
    </row>
    <row r="374" spans="1:15" s="631" customFormat="1" x14ac:dyDescent="0.25">
      <c r="A374" s="626"/>
      <c r="B374" s="624" t="s">
        <v>653</v>
      </c>
      <c r="C374" s="624">
        <v>6705</v>
      </c>
      <c r="D374" s="624"/>
      <c r="E374" s="624"/>
      <c r="F374" s="624">
        <v>15606</v>
      </c>
      <c r="G374" s="624"/>
      <c r="H374" s="624"/>
      <c r="I374" s="624"/>
      <c r="J374" s="624">
        <f t="shared" ref="J374:J387" si="211">SUM(C374+E374+F374+H374)</f>
        <v>22311</v>
      </c>
      <c r="K374" s="624">
        <f t="shared" ref="K374:K387" si="212">SUM(D374+G374+I374)</f>
        <v>0</v>
      </c>
      <c r="L374" s="624">
        <f t="shared" ref="L374:L387" si="213">SUM(J374:K374)</f>
        <v>22311</v>
      </c>
      <c r="M374" s="624">
        <v>101388</v>
      </c>
      <c r="N374" s="624">
        <v>147</v>
      </c>
      <c r="O374" s="624">
        <f t="shared" ref="O374:O387" si="214">SUM(L374:N374)</f>
        <v>123846</v>
      </c>
    </row>
    <row r="375" spans="1:15" x14ac:dyDescent="0.25">
      <c r="A375" s="634"/>
      <c r="B375" s="625" t="s">
        <v>738</v>
      </c>
      <c r="C375" s="625">
        <v>6705</v>
      </c>
      <c r="D375" s="625"/>
      <c r="E375" s="625"/>
      <c r="F375" s="625">
        <v>15606</v>
      </c>
      <c r="G375" s="625"/>
      <c r="H375" s="625"/>
      <c r="I375" s="625"/>
      <c r="J375" s="632">
        <f t="shared" si="211"/>
        <v>22311</v>
      </c>
      <c r="K375" s="632">
        <f t="shared" si="212"/>
        <v>0</v>
      </c>
      <c r="L375" s="632">
        <f t="shared" si="213"/>
        <v>22311</v>
      </c>
      <c r="M375" s="632">
        <v>98647</v>
      </c>
      <c r="N375" s="632">
        <v>147</v>
      </c>
      <c r="O375" s="632">
        <f t="shared" si="214"/>
        <v>121105</v>
      </c>
    </row>
    <row r="376" spans="1:15" x14ac:dyDescent="0.25">
      <c r="A376" s="634"/>
      <c r="B376" s="625" t="s">
        <v>737</v>
      </c>
      <c r="C376" s="625"/>
      <c r="D376" s="625"/>
      <c r="E376" s="625"/>
      <c r="F376" s="625"/>
      <c r="G376" s="625"/>
      <c r="H376" s="625"/>
      <c r="I376" s="625"/>
      <c r="J376" s="625">
        <f t="shared" si="211"/>
        <v>0</v>
      </c>
      <c r="K376" s="625">
        <f t="shared" si="212"/>
        <v>0</v>
      </c>
      <c r="L376" s="625">
        <f t="shared" si="213"/>
        <v>0</v>
      </c>
      <c r="M376" s="625">
        <v>2741</v>
      </c>
      <c r="N376" s="625"/>
      <c r="O376" s="625">
        <f t="shared" si="214"/>
        <v>2741</v>
      </c>
    </row>
    <row r="377" spans="1:15" x14ac:dyDescent="0.25">
      <c r="A377" s="634"/>
      <c r="B377" s="625" t="s">
        <v>178</v>
      </c>
      <c r="C377" s="625"/>
      <c r="D377" s="625"/>
      <c r="E377" s="625"/>
      <c r="F377" s="625"/>
      <c r="G377" s="625"/>
      <c r="H377" s="625"/>
      <c r="I377" s="625"/>
      <c r="J377" s="632"/>
      <c r="K377" s="632"/>
      <c r="L377" s="632"/>
      <c r="M377" s="632"/>
      <c r="N377" s="632"/>
      <c r="O377" s="632"/>
    </row>
    <row r="378" spans="1:15" x14ac:dyDescent="0.25">
      <c r="A378" s="634"/>
      <c r="B378" s="852" t="s">
        <v>1110</v>
      </c>
      <c r="C378" s="625"/>
      <c r="D378" s="625"/>
      <c r="E378" s="625"/>
      <c r="F378" s="625"/>
      <c r="G378" s="625"/>
      <c r="H378" s="625"/>
      <c r="I378" s="625"/>
      <c r="J378" s="852">
        <f t="shared" si="211"/>
        <v>0</v>
      </c>
      <c r="K378" s="852">
        <f t="shared" si="212"/>
        <v>0</v>
      </c>
      <c r="L378" s="852">
        <f t="shared" si="213"/>
        <v>0</v>
      </c>
      <c r="M378" s="852">
        <v>101</v>
      </c>
      <c r="N378" s="852"/>
      <c r="O378" s="852">
        <f t="shared" si="214"/>
        <v>101</v>
      </c>
    </row>
    <row r="379" spans="1:15" x14ac:dyDescent="0.25">
      <c r="A379" s="634"/>
      <c r="B379" s="625" t="s">
        <v>179</v>
      </c>
      <c r="C379" s="625"/>
      <c r="D379" s="625"/>
      <c r="E379" s="625"/>
      <c r="F379" s="625"/>
      <c r="G379" s="625"/>
      <c r="H379" s="625"/>
      <c r="I379" s="625"/>
      <c r="J379" s="852"/>
      <c r="K379" s="852"/>
      <c r="L379" s="852"/>
      <c r="M379" s="852"/>
      <c r="N379" s="852"/>
      <c r="O379" s="852"/>
    </row>
    <row r="380" spans="1:15" x14ac:dyDescent="0.25">
      <c r="A380" s="634"/>
      <c r="B380" s="637" t="s">
        <v>1111</v>
      </c>
      <c r="C380" s="625"/>
      <c r="D380" s="625"/>
      <c r="E380" s="625"/>
      <c r="F380" s="625"/>
      <c r="G380" s="625"/>
      <c r="H380" s="625"/>
      <c r="I380" s="625"/>
      <c r="J380" s="852">
        <f t="shared" si="211"/>
        <v>0</v>
      </c>
      <c r="K380" s="852">
        <f t="shared" si="212"/>
        <v>0</v>
      </c>
      <c r="L380" s="852">
        <f t="shared" si="213"/>
        <v>0</v>
      </c>
      <c r="M380" s="852">
        <v>508</v>
      </c>
      <c r="N380" s="852"/>
      <c r="O380" s="852">
        <f t="shared" si="214"/>
        <v>508</v>
      </c>
    </row>
    <row r="381" spans="1:15" ht="63" x14ac:dyDescent="0.25">
      <c r="A381" s="634"/>
      <c r="B381" s="852" t="s">
        <v>1130</v>
      </c>
      <c r="C381" s="625"/>
      <c r="D381" s="625"/>
      <c r="E381" s="625"/>
      <c r="F381" s="625"/>
      <c r="G381" s="625"/>
      <c r="H381" s="625"/>
      <c r="I381" s="625"/>
      <c r="J381" s="852">
        <f t="shared" si="211"/>
        <v>0</v>
      </c>
      <c r="K381" s="852">
        <f t="shared" si="212"/>
        <v>0</v>
      </c>
      <c r="L381" s="852">
        <f t="shared" si="213"/>
        <v>0</v>
      </c>
      <c r="M381" s="852">
        <v>50</v>
      </c>
      <c r="N381" s="852"/>
      <c r="O381" s="852">
        <f t="shared" si="214"/>
        <v>50</v>
      </c>
    </row>
    <row r="382" spans="1:15" ht="31.5" x14ac:dyDescent="0.25">
      <c r="A382" s="634"/>
      <c r="B382" s="852" t="s">
        <v>1131</v>
      </c>
      <c r="C382" s="625"/>
      <c r="D382" s="625"/>
      <c r="E382" s="625"/>
      <c r="F382" s="625"/>
      <c r="G382" s="625"/>
      <c r="H382" s="625"/>
      <c r="I382" s="625"/>
      <c r="J382" s="852">
        <f t="shared" si="211"/>
        <v>0</v>
      </c>
      <c r="K382" s="852">
        <f t="shared" si="212"/>
        <v>0</v>
      </c>
      <c r="L382" s="852">
        <f t="shared" si="213"/>
        <v>0</v>
      </c>
      <c r="M382" s="852">
        <v>200</v>
      </c>
      <c r="N382" s="852"/>
      <c r="O382" s="852">
        <f t="shared" si="214"/>
        <v>200</v>
      </c>
    </row>
    <row r="383" spans="1:15" ht="47.25" x14ac:dyDescent="0.25">
      <c r="A383" s="634"/>
      <c r="B383" s="637" t="s">
        <v>1132</v>
      </c>
      <c r="C383" s="625"/>
      <c r="D383" s="625"/>
      <c r="E383" s="625"/>
      <c r="F383" s="625"/>
      <c r="G383" s="625"/>
      <c r="H383" s="625"/>
      <c r="I383" s="625"/>
      <c r="J383" s="852">
        <f t="shared" si="211"/>
        <v>0</v>
      </c>
      <c r="K383" s="852">
        <f t="shared" si="212"/>
        <v>0</v>
      </c>
      <c r="L383" s="852">
        <f t="shared" si="213"/>
        <v>0</v>
      </c>
      <c r="M383" s="852">
        <v>100</v>
      </c>
      <c r="N383" s="852"/>
      <c r="O383" s="852">
        <f t="shared" si="214"/>
        <v>100</v>
      </c>
    </row>
    <row r="384" spans="1:15" ht="31.5" x14ac:dyDescent="0.25">
      <c r="A384" s="634"/>
      <c r="B384" s="637" t="s">
        <v>1133</v>
      </c>
      <c r="C384" s="625"/>
      <c r="D384" s="625"/>
      <c r="E384" s="625"/>
      <c r="F384" s="625"/>
      <c r="G384" s="625"/>
      <c r="H384" s="625"/>
      <c r="I384" s="625"/>
      <c r="J384" s="852">
        <f t="shared" si="211"/>
        <v>0</v>
      </c>
      <c r="K384" s="852">
        <f t="shared" si="212"/>
        <v>0</v>
      </c>
      <c r="L384" s="852">
        <f t="shared" si="213"/>
        <v>0</v>
      </c>
      <c r="M384" s="852">
        <v>100</v>
      </c>
      <c r="N384" s="852"/>
      <c r="O384" s="852">
        <f t="shared" si="214"/>
        <v>100</v>
      </c>
    </row>
    <row r="385" spans="1:15" ht="63" x14ac:dyDescent="0.25">
      <c r="A385" s="634"/>
      <c r="B385" s="637" t="s">
        <v>1134</v>
      </c>
      <c r="C385" s="625"/>
      <c r="D385" s="625"/>
      <c r="E385" s="625"/>
      <c r="F385" s="625"/>
      <c r="G385" s="625"/>
      <c r="H385" s="625"/>
      <c r="I385" s="625"/>
      <c r="J385" s="852">
        <f t="shared" si="211"/>
        <v>0</v>
      </c>
      <c r="K385" s="852">
        <f t="shared" si="212"/>
        <v>0</v>
      </c>
      <c r="L385" s="852">
        <f t="shared" si="213"/>
        <v>0</v>
      </c>
      <c r="M385" s="852">
        <v>30</v>
      </c>
      <c r="N385" s="852"/>
      <c r="O385" s="852">
        <f t="shared" si="214"/>
        <v>30</v>
      </c>
    </row>
    <row r="386" spans="1:15" ht="63" x14ac:dyDescent="0.25">
      <c r="A386" s="634"/>
      <c r="B386" s="637" t="s">
        <v>1135</v>
      </c>
      <c r="C386" s="625"/>
      <c r="D386" s="625"/>
      <c r="E386" s="625"/>
      <c r="F386" s="625"/>
      <c r="G386" s="625"/>
      <c r="H386" s="625"/>
      <c r="I386" s="625"/>
      <c r="J386" s="852">
        <f t="shared" si="211"/>
        <v>0</v>
      </c>
      <c r="K386" s="852">
        <f t="shared" si="212"/>
        <v>0</v>
      </c>
      <c r="L386" s="852">
        <f t="shared" si="213"/>
        <v>0</v>
      </c>
      <c r="M386" s="852">
        <v>20</v>
      </c>
      <c r="N386" s="852"/>
      <c r="O386" s="852">
        <f t="shared" si="214"/>
        <v>20</v>
      </c>
    </row>
    <row r="387" spans="1:15" ht="48" thickBot="1" x14ac:dyDescent="0.3">
      <c r="A387" s="778"/>
      <c r="B387" s="864" t="s">
        <v>1136</v>
      </c>
      <c r="C387" s="779"/>
      <c r="D387" s="779"/>
      <c r="E387" s="779"/>
      <c r="F387" s="779"/>
      <c r="G387" s="779"/>
      <c r="H387" s="779"/>
      <c r="I387" s="779"/>
      <c r="J387" s="865">
        <f t="shared" si="211"/>
        <v>0</v>
      </c>
      <c r="K387" s="865">
        <f t="shared" si="212"/>
        <v>0</v>
      </c>
      <c r="L387" s="865">
        <f t="shared" si="213"/>
        <v>0</v>
      </c>
      <c r="M387" s="865">
        <v>800</v>
      </c>
      <c r="N387" s="865"/>
      <c r="O387" s="865">
        <f t="shared" si="214"/>
        <v>800</v>
      </c>
    </row>
    <row r="388" spans="1:15" ht="17.25" thickTop="1" thickBot="1" x14ac:dyDescent="0.3">
      <c r="A388" s="620"/>
      <c r="B388" s="619" t="s">
        <v>736</v>
      </c>
      <c r="C388" s="619">
        <f>+C374+C378+C382+C383+C380+C381+C384+C385+C386+C387</f>
        <v>6705</v>
      </c>
      <c r="D388" s="619">
        <f t="shared" ref="D388:O388" si="215">+D374+D378+D382+D383+D380+D381+D384+D385+D386+D387</f>
        <v>0</v>
      </c>
      <c r="E388" s="619">
        <f t="shared" si="215"/>
        <v>0</v>
      </c>
      <c r="F388" s="619">
        <f t="shared" si="215"/>
        <v>15606</v>
      </c>
      <c r="G388" s="619">
        <f t="shared" si="215"/>
        <v>0</v>
      </c>
      <c r="H388" s="619">
        <f t="shared" si="215"/>
        <v>0</v>
      </c>
      <c r="I388" s="619">
        <f t="shared" si="215"/>
        <v>0</v>
      </c>
      <c r="J388" s="619">
        <f t="shared" si="215"/>
        <v>22311</v>
      </c>
      <c r="K388" s="619">
        <f t="shared" si="215"/>
        <v>0</v>
      </c>
      <c r="L388" s="619">
        <f t="shared" si="215"/>
        <v>22311</v>
      </c>
      <c r="M388" s="619">
        <f t="shared" si="215"/>
        <v>103297</v>
      </c>
      <c r="N388" s="619">
        <f t="shared" si="215"/>
        <v>147</v>
      </c>
      <c r="O388" s="619">
        <f t="shared" si="215"/>
        <v>125755</v>
      </c>
    </row>
    <row r="389" spans="1:15" s="631" customFormat="1" ht="17.25" thickTop="1" thickBot="1" x14ac:dyDescent="0.3">
      <c r="A389" s="620"/>
      <c r="B389" s="619" t="s">
        <v>735</v>
      </c>
      <c r="C389" s="619">
        <f>+C375+C378</f>
        <v>6705</v>
      </c>
      <c r="D389" s="619">
        <f t="shared" ref="D389:O389" si="216">+D375+D378</f>
        <v>0</v>
      </c>
      <c r="E389" s="619">
        <f t="shared" si="216"/>
        <v>0</v>
      </c>
      <c r="F389" s="619">
        <f t="shared" si="216"/>
        <v>15606</v>
      </c>
      <c r="G389" s="619">
        <f t="shared" si="216"/>
        <v>0</v>
      </c>
      <c r="H389" s="619">
        <f t="shared" si="216"/>
        <v>0</v>
      </c>
      <c r="I389" s="619">
        <f t="shared" si="216"/>
        <v>0</v>
      </c>
      <c r="J389" s="619">
        <f t="shared" si="216"/>
        <v>22311</v>
      </c>
      <c r="K389" s="619">
        <f t="shared" si="216"/>
        <v>0</v>
      </c>
      <c r="L389" s="619">
        <f t="shared" si="216"/>
        <v>22311</v>
      </c>
      <c r="M389" s="619">
        <f t="shared" si="216"/>
        <v>98748</v>
      </c>
      <c r="N389" s="619">
        <f t="shared" si="216"/>
        <v>147</v>
      </c>
      <c r="O389" s="619">
        <f t="shared" si="216"/>
        <v>121206</v>
      </c>
    </row>
    <row r="390" spans="1:15" ht="17.25" thickTop="1" thickBot="1" x14ac:dyDescent="0.3">
      <c r="A390" s="620"/>
      <c r="B390" s="619" t="s">
        <v>734</v>
      </c>
      <c r="C390" s="619">
        <f>+C376+C382+C383+C380+C381+C384+C385+C386+C387</f>
        <v>0</v>
      </c>
      <c r="D390" s="619">
        <f t="shared" ref="D390:O390" si="217">+D376+D382+D383+D380+D381+D384+D385+D386+D387</f>
        <v>0</v>
      </c>
      <c r="E390" s="619">
        <f t="shared" si="217"/>
        <v>0</v>
      </c>
      <c r="F390" s="619">
        <f t="shared" si="217"/>
        <v>0</v>
      </c>
      <c r="G390" s="619">
        <f t="shared" si="217"/>
        <v>0</v>
      </c>
      <c r="H390" s="619">
        <f t="shared" si="217"/>
        <v>0</v>
      </c>
      <c r="I390" s="619">
        <f t="shared" si="217"/>
        <v>0</v>
      </c>
      <c r="J390" s="619">
        <f t="shared" si="217"/>
        <v>0</v>
      </c>
      <c r="K390" s="619">
        <f t="shared" si="217"/>
        <v>0</v>
      </c>
      <c r="L390" s="619">
        <f t="shared" si="217"/>
        <v>0</v>
      </c>
      <c r="M390" s="619">
        <f t="shared" si="217"/>
        <v>4549</v>
      </c>
      <c r="N390" s="619">
        <f t="shared" si="217"/>
        <v>0</v>
      </c>
      <c r="O390" s="619">
        <f t="shared" si="217"/>
        <v>4549</v>
      </c>
    </row>
    <row r="391" spans="1:15" s="631" customFormat="1" ht="17.25" thickTop="1" thickBot="1" x14ac:dyDescent="0.3">
      <c r="A391" s="620"/>
      <c r="B391" s="619" t="s">
        <v>741</v>
      </c>
      <c r="C391" s="619">
        <f t="shared" ref="C391:O391" si="218">SUM(C307+C316+C330+C348+C359+C371+C388)</f>
        <v>126845</v>
      </c>
      <c r="D391" s="619">
        <f t="shared" si="218"/>
        <v>0</v>
      </c>
      <c r="E391" s="619">
        <f t="shared" si="218"/>
        <v>0</v>
      </c>
      <c r="F391" s="619">
        <f t="shared" si="218"/>
        <v>455163</v>
      </c>
      <c r="G391" s="619">
        <f t="shared" si="218"/>
        <v>0</v>
      </c>
      <c r="H391" s="619">
        <f t="shared" si="218"/>
        <v>163219</v>
      </c>
      <c r="I391" s="619">
        <f t="shared" si="218"/>
        <v>0</v>
      </c>
      <c r="J391" s="619">
        <f t="shared" si="218"/>
        <v>745227</v>
      </c>
      <c r="K391" s="619">
        <f t="shared" si="218"/>
        <v>0</v>
      </c>
      <c r="L391" s="619">
        <f t="shared" si="218"/>
        <v>745227</v>
      </c>
      <c r="M391" s="619">
        <f t="shared" si="218"/>
        <v>1736247</v>
      </c>
      <c r="N391" s="619">
        <f t="shared" si="218"/>
        <v>100686</v>
      </c>
      <c r="O391" s="619">
        <f t="shared" si="218"/>
        <v>2582160</v>
      </c>
    </row>
    <row r="392" spans="1:15" ht="17.25" thickTop="1" thickBot="1" x14ac:dyDescent="0.3">
      <c r="A392" s="620"/>
      <c r="B392" s="619" t="s">
        <v>740</v>
      </c>
      <c r="C392" s="619">
        <f t="shared" ref="C392:O392" si="219">SUM(C244+C284+C295+C391)</f>
        <v>813977</v>
      </c>
      <c r="D392" s="619">
        <f t="shared" si="219"/>
        <v>0</v>
      </c>
      <c r="E392" s="619">
        <f t="shared" si="219"/>
        <v>0</v>
      </c>
      <c r="F392" s="619">
        <f t="shared" si="219"/>
        <v>1569633</v>
      </c>
      <c r="G392" s="619">
        <f t="shared" si="219"/>
        <v>0</v>
      </c>
      <c r="H392" s="619">
        <f t="shared" si="219"/>
        <v>163219</v>
      </c>
      <c r="I392" s="619">
        <f t="shared" si="219"/>
        <v>0</v>
      </c>
      <c r="J392" s="619">
        <f t="shared" si="219"/>
        <v>2546829</v>
      </c>
      <c r="K392" s="619">
        <f t="shared" si="219"/>
        <v>0</v>
      </c>
      <c r="L392" s="619">
        <f t="shared" si="219"/>
        <v>2546829</v>
      </c>
      <c r="M392" s="619">
        <f t="shared" si="219"/>
        <v>7434221</v>
      </c>
      <c r="N392" s="619">
        <f t="shared" si="219"/>
        <v>230152</v>
      </c>
      <c r="O392" s="619">
        <f t="shared" si="219"/>
        <v>10211202</v>
      </c>
    </row>
    <row r="393" spans="1:15" s="631" customFormat="1" ht="16.5" thickTop="1" x14ac:dyDescent="0.25">
      <c r="A393" s="626" t="s">
        <v>434</v>
      </c>
      <c r="B393" s="635" t="s">
        <v>739</v>
      </c>
      <c r="C393" s="635"/>
      <c r="D393" s="635"/>
      <c r="E393" s="635"/>
      <c r="F393" s="635"/>
      <c r="G393" s="635"/>
      <c r="H393" s="635"/>
      <c r="I393" s="635"/>
      <c r="J393" s="635"/>
      <c r="K393" s="635"/>
      <c r="L393" s="635"/>
      <c r="M393" s="635"/>
      <c r="N393" s="635"/>
      <c r="O393" s="635"/>
    </row>
    <row r="394" spans="1:15" x14ac:dyDescent="0.25">
      <c r="A394" s="626"/>
      <c r="B394" s="624" t="s">
        <v>653</v>
      </c>
      <c r="C394" s="624">
        <v>265931</v>
      </c>
      <c r="D394" s="624"/>
      <c r="E394" s="624">
        <v>989</v>
      </c>
      <c r="F394" s="624">
        <v>11357</v>
      </c>
      <c r="G394" s="624"/>
      <c r="H394" s="624"/>
      <c r="I394" s="624"/>
      <c r="J394" s="624">
        <f>SUM(C394+E394+F394+H394)</f>
        <v>278277</v>
      </c>
      <c r="K394" s="624">
        <f>SUM(D394+G394+I394)</f>
        <v>0</v>
      </c>
      <c r="L394" s="624">
        <f>SUM(J394:K394)</f>
        <v>278277</v>
      </c>
      <c r="M394" s="624">
        <v>2156797</v>
      </c>
      <c r="N394" s="624">
        <v>52892</v>
      </c>
      <c r="O394" s="624">
        <f>SUM(L394:N394)</f>
        <v>2487966</v>
      </c>
    </row>
    <row r="395" spans="1:15" x14ac:dyDescent="0.25">
      <c r="A395" s="634"/>
      <c r="B395" s="625" t="s">
        <v>738</v>
      </c>
      <c r="C395" s="625">
        <v>57910</v>
      </c>
      <c r="D395" s="625"/>
      <c r="E395" s="625"/>
      <c r="F395" s="625">
        <v>237</v>
      </c>
      <c r="G395" s="625"/>
      <c r="H395" s="625"/>
      <c r="I395" s="625"/>
      <c r="J395" s="632">
        <f>SUM(C395+E395+F395+H395)</f>
        <v>58147</v>
      </c>
      <c r="K395" s="632">
        <f>SUM(D395+G395+I395)</f>
        <v>0</v>
      </c>
      <c r="L395" s="632">
        <f>SUM(J395:K395)</f>
        <v>58147</v>
      </c>
      <c r="M395" s="632">
        <v>1086696</v>
      </c>
      <c r="N395" s="632">
        <v>52892</v>
      </c>
      <c r="O395" s="632">
        <f>SUM(L395:N395)</f>
        <v>1197735</v>
      </c>
    </row>
    <row r="396" spans="1:15" x14ac:dyDescent="0.25">
      <c r="A396" s="634"/>
      <c r="B396" s="625" t="s">
        <v>737</v>
      </c>
      <c r="C396" s="625">
        <v>138247</v>
      </c>
      <c r="D396" s="625"/>
      <c r="E396" s="625"/>
      <c r="F396" s="625">
        <v>11120</v>
      </c>
      <c r="G396" s="625"/>
      <c r="H396" s="625"/>
      <c r="I396" s="625"/>
      <c r="J396" s="632">
        <f>SUM(C396+E396+F396+H396)</f>
        <v>149367</v>
      </c>
      <c r="K396" s="852">
        <f>SUM(D396+G396+I396)</f>
        <v>0</v>
      </c>
      <c r="L396" s="632">
        <f>SUM(J396:K396)</f>
        <v>149367</v>
      </c>
      <c r="M396" s="632">
        <v>329031</v>
      </c>
      <c r="N396" s="632"/>
      <c r="O396" s="632">
        <f>SUM(L396:N396)</f>
        <v>478398</v>
      </c>
    </row>
    <row r="397" spans="1:15" x14ac:dyDescent="0.25">
      <c r="A397" s="633"/>
      <c r="B397" s="632" t="s">
        <v>813</v>
      </c>
      <c r="C397" s="632">
        <v>69774</v>
      </c>
      <c r="D397" s="632"/>
      <c r="E397" s="632">
        <v>989</v>
      </c>
      <c r="F397" s="632"/>
      <c r="G397" s="632"/>
      <c r="H397" s="632"/>
      <c r="I397" s="632"/>
      <c r="J397" s="632">
        <f>SUM(C397+E397+F397+H397)</f>
        <v>70763</v>
      </c>
      <c r="K397" s="852">
        <f>SUM(D397+G397+I397)</f>
        <v>0</v>
      </c>
      <c r="L397" s="632">
        <f>SUM(J397:K397)</f>
        <v>70763</v>
      </c>
      <c r="M397" s="632">
        <v>741070</v>
      </c>
      <c r="N397" s="632"/>
      <c r="O397" s="632">
        <f>SUM(L397:N397)</f>
        <v>811833</v>
      </c>
    </row>
    <row r="398" spans="1:15" x14ac:dyDescent="0.25">
      <c r="A398" s="634"/>
      <c r="B398" s="625" t="s">
        <v>178</v>
      </c>
      <c r="C398" s="625"/>
      <c r="D398" s="625"/>
      <c r="E398" s="625"/>
      <c r="F398" s="625"/>
      <c r="G398" s="625"/>
      <c r="H398" s="625"/>
      <c r="I398" s="625"/>
      <c r="J398" s="632"/>
      <c r="K398" s="852"/>
      <c r="L398" s="632"/>
      <c r="M398" s="632"/>
      <c r="N398" s="632"/>
      <c r="O398" s="632"/>
    </row>
    <row r="399" spans="1:15" s="631" customFormat="1" x14ac:dyDescent="0.25">
      <c r="A399" s="633"/>
      <c r="B399" s="852" t="s">
        <v>1110</v>
      </c>
      <c r="C399" s="632"/>
      <c r="D399" s="632"/>
      <c r="E399" s="632"/>
      <c r="F399" s="632"/>
      <c r="G399" s="632"/>
      <c r="H399" s="632"/>
      <c r="I399" s="632"/>
      <c r="J399" s="632">
        <f t="shared" ref="J399:J405" si="220">SUM(C399+E399+F399+H399)</f>
        <v>0</v>
      </c>
      <c r="K399" s="852">
        <f t="shared" ref="K399:K405" si="221">SUM(D399+G399+I399)</f>
        <v>0</v>
      </c>
      <c r="L399" s="852">
        <f t="shared" ref="L399:L405" si="222">SUM(J399:K399)</f>
        <v>0</v>
      </c>
      <c r="M399" s="852">
        <v>1214</v>
      </c>
      <c r="N399" s="852"/>
      <c r="O399" s="852">
        <f t="shared" ref="O399:O405" si="223">SUM(L399:N399)</f>
        <v>1214</v>
      </c>
    </row>
    <row r="400" spans="1:15" x14ac:dyDescent="0.25">
      <c r="A400" s="634"/>
      <c r="B400" s="853" t="s">
        <v>1137</v>
      </c>
      <c r="C400" s="852"/>
      <c r="D400" s="632"/>
      <c r="E400" s="632"/>
      <c r="F400" s="632"/>
      <c r="G400" s="632"/>
      <c r="H400" s="632"/>
      <c r="I400" s="632"/>
      <c r="J400" s="632">
        <f t="shared" si="220"/>
        <v>0</v>
      </c>
      <c r="K400" s="852">
        <f t="shared" si="221"/>
        <v>0</v>
      </c>
      <c r="L400" s="852">
        <f t="shared" si="222"/>
        <v>0</v>
      </c>
      <c r="M400" s="852">
        <v>25335</v>
      </c>
      <c r="N400" s="852"/>
      <c r="O400" s="852">
        <f t="shared" si="223"/>
        <v>25335</v>
      </c>
    </row>
    <row r="401" spans="1:15" s="631" customFormat="1" x14ac:dyDescent="0.25">
      <c r="A401" s="634"/>
      <c r="B401" s="625" t="s">
        <v>179</v>
      </c>
      <c r="C401" s="625"/>
      <c r="D401" s="625"/>
      <c r="E401" s="625"/>
      <c r="F401" s="625"/>
      <c r="G401" s="625"/>
      <c r="H401" s="625"/>
      <c r="I401" s="625"/>
      <c r="J401" s="632">
        <f t="shared" si="220"/>
        <v>0</v>
      </c>
      <c r="K401" s="852">
        <f t="shared" si="221"/>
        <v>0</v>
      </c>
      <c r="L401" s="852">
        <f t="shared" si="222"/>
        <v>0</v>
      </c>
      <c r="M401" s="632"/>
      <c r="N401" s="632"/>
      <c r="O401" s="854">
        <f t="shared" si="223"/>
        <v>0</v>
      </c>
    </row>
    <row r="402" spans="1:15" x14ac:dyDescent="0.25">
      <c r="A402" s="634"/>
      <c r="B402" s="852" t="s">
        <v>1138</v>
      </c>
      <c r="C402" s="625"/>
      <c r="D402" s="625"/>
      <c r="E402" s="625"/>
      <c r="F402" s="625"/>
      <c r="G402" s="625"/>
      <c r="H402" s="625"/>
      <c r="I402" s="625"/>
      <c r="J402" s="632">
        <f t="shared" si="220"/>
        <v>0</v>
      </c>
      <c r="K402" s="852">
        <f t="shared" si="221"/>
        <v>0</v>
      </c>
      <c r="L402" s="852">
        <f t="shared" si="222"/>
        <v>0</v>
      </c>
      <c r="M402" s="852">
        <v>2500</v>
      </c>
      <c r="N402" s="632"/>
      <c r="O402" s="854">
        <f t="shared" si="223"/>
        <v>2500</v>
      </c>
    </row>
    <row r="403" spans="1:15" s="631" customFormat="1" x14ac:dyDescent="0.25">
      <c r="A403" s="626"/>
      <c r="B403" s="852" t="s">
        <v>1139</v>
      </c>
      <c r="C403" s="852"/>
      <c r="D403" s="852"/>
      <c r="E403" s="852"/>
      <c r="F403" s="852"/>
      <c r="G403" s="852"/>
      <c r="H403" s="852"/>
      <c r="I403" s="852"/>
      <c r="J403" s="632">
        <f t="shared" si="220"/>
        <v>0</v>
      </c>
      <c r="K403" s="852">
        <f t="shared" si="221"/>
        <v>0</v>
      </c>
      <c r="L403" s="852">
        <f t="shared" si="222"/>
        <v>0</v>
      </c>
      <c r="M403" s="852">
        <v>752</v>
      </c>
      <c r="N403" s="632"/>
      <c r="O403" s="854">
        <f t="shared" si="223"/>
        <v>752</v>
      </c>
    </row>
    <row r="404" spans="1:15" x14ac:dyDescent="0.25">
      <c r="A404" s="634"/>
      <c r="B404" s="625" t="s">
        <v>538</v>
      </c>
      <c r="C404" s="625"/>
      <c r="D404" s="625"/>
      <c r="E404" s="625"/>
      <c r="F404" s="625"/>
      <c r="G404" s="625"/>
      <c r="H404" s="625"/>
      <c r="I404" s="625"/>
      <c r="J404" s="632">
        <f t="shared" si="220"/>
        <v>0</v>
      </c>
      <c r="K404" s="852">
        <f t="shared" si="221"/>
        <v>0</v>
      </c>
      <c r="L404" s="852">
        <f t="shared" si="222"/>
        <v>0</v>
      </c>
      <c r="M404" s="632"/>
      <c r="N404" s="632"/>
      <c r="O404" s="854">
        <f t="shared" si="223"/>
        <v>0</v>
      </c>
    </row>
    <row r="405" spans="1:15" ht="16.5" thickBot="1" x14ac:dyDescent="0.3">
      <c r="A405" s="634"/>
      <c r="B405" s="853" t="s">
        <v>1137</v>
      </c>
      <c r="C405" s="625"/>
      <c r="D405" s="625"/>
      <c r="E405" s="625"/>
      <c r="F405" s="625"/>
      <c r="G405" s="625"/>
      <c r="H405" s="625"/>
      <c r="I405" s="625"/>
      <c r="J405" s="632">
        <f t="shared" si="220"/>
        <v>0</v>
      </c>
      <c r="K405" s="852">
        <f t="shared" si="221"/>
        <v>0</v>
      </c>
      <c r="L405" s="852">
        <f t="shared" si="222"/>
        <v>0</v>
      </c>
      <c r="M405" s="852">
        <v>18196</v>
      </c>
      <c r="N405" s="852"/>
      <c r="O405" s="855">
        <f t="shared" si="223"/>
        <v>18196</v>
      </c>
    </row>
    <row r="406" spans="1:15" ht="17.25" thickTop="1" thickBot="1" x14ac:dyDescent="0.3">
      <c r="A406" s="620"/>
      <c r="B406" s="619" t="s">
        <v>736</v>
      </c>
      <c r="C406" s="619">
        <f>+C394+C399+C405+C400+C402+C403</f>
        <v>265931</v>
      </c>
      <c r="D406" s="619">
        <f t="shared" ref="D406:O406" si="224">+D394+D399+D405+D400+D402+D403</f>
        <v>0</v>
      </c>
      <c r="E406" s="619">
        <f t="shared" si="224"/>
        <v>989</v>
      </c>
      <c r="F406" s="619">
        <f t="shared" si="224"/>
        <v>11357</v>
      </c>
      <c r="G406" s="619">
        <f t="shared" si="224"/>
        <v>0</v>
      </c>
      <c r="H406" s="619">
        <f t="shared" si="224"/>
        <v>0</v>
      </c>
      <c r="I406" s="619">
        <f t="shared" si="224"/>
        <v>0</v>
      </c>
      <c r="J406" s="619">
        <f t="shared" si="224"/>
        <v>278277</v>
      </c>
      <c r="K406" s="619">
        <f t="shared" si="224"/>
        <v>0</v>
      </c>
      <c r="L406" s="619">
        <f t="shared" si="224"/>
        <v>278277</v>
      </c>
      <c r="M406" s="619">
        <f t="shared" si="224"/>
        <v>2204794</v>
      </c>
      <c r="N406" s="619">
        <f t="shared" si="224"/>
        <v>52892</v>
      </c>
      <c r="O406" s="619">
        <f t="shared" si="224"/>
        <v>2535963</v>
      </c>
    </row>
    <row r="407" spans="1:15" ht="17.25" thickTop="1" thickBot="1" x14ac:dyDescent="0.3">
      <c r="A407" s="620"/>
      <c r="B407" s="619" t="s">
        <v>735</v>
      </c>
      <c r="C407" s="619">
        <f>+C395+C399+C400</f>
        <v>57910</v>
      </c>
      <c r="D407" s="619">
        <f t="shared" ref="D407:O407" si="225">+D395+D399+D400</f>
        <v>0</v>
      </c>
      <c r="E407" s="619">
        <f t="shared" si="225"/>
        <v>0</v>
      </c>
      <c r="F407" s="619">
        <f t="shared" si="225"/>
        <v>237</v>
      </c>
      <c r="G407" s="619">
        <f t="shared" si="225"/>
        <v>0</v>
      </c>
      <c r="H407" s="619">
        <f t="shared" si="225"/>
        <v>0</v>
      </c>
      <c r="I407" s="619">
        <f t="shared" si="225"/>
        <v>0</v>
      </c>
      <c r="J407" s="619">
        <f t="shared" si="225"/>
        <v>58147</v>
      </c>
      <c r="K407" s="619">
        <f t="shared" si="225"/>
        <v>0</v>
      </c>
      <c r="L407" s="619">
        <f t="shared" si="225"/>
        <v>58147</v>
      </c>
      <c r="M407" s="619">
        <f t="shared" si="225"/>
        <v>1113245</v>
      </c>
      <c r="N407" s="619">
        <f t="shared" si="225"/>
        <v>52892</v>
      </c>
      <c r="O407" s="619">
        <f t="shared" si="225"/>
        <v>1224284</v>
      </c>
    </row>
    <row r="408" spans="1:15" s="631" customFormat="1" ht="17.25" thickTop="1" thickBot="1" x14ac:dyDescent="0.3">
      <c r="A408" s="620"/>
      <c r="B408" s="619" t="s">
        <v>734</v>
      </c>
      <c r="C408" s="619">
        <f t="shared" ref="C408:O408" si="226">+C396+C402+C403</f>
        <v>138247</v>
      </c>
      <c r="D408" s="619">
        <f t="shared" si="226"/>
        <v>0</v>
      </c>
      <c r="E408" s="619">
        <f t="shared" si="226"/>
        <v>0</v>
      </c>
      <c r="F408" s="619">
        <f t="shared" si="226"/>
        <v>11120</v>
      </c>
      <c r="G408" s="619">
        <f t="shared" si="226"/>
        <v>0</v>
      </c>
      <c r="H408" s="619">
        <f t="shared" si="226"/>
        <v>0</v>
      </c>
      <c r="I408" s="619">
        <f t="shared" si="226"/>
        <v>0</v>
      </c>
      <c r="J408" s="619">
        <f t="shared" si="226"/>
        <v>149367</v>
      </c>
      <c r="K408" s="619">
        <f t="shared" si="226"/>
        <v>0</v>
      </c>
      <c r="L408" s="619">
        <f t="shared" si="226"/>
        <v>149367</v>
      </c>
      <c r="M408" s="619">
        <f t="shared" si="226"/>
        <v>332283</v>
      </c>
      <c r="N408" s="619">
        <f t="shared" si="226"/>
        <v>0</v>
      </c>
      <c r="O408" s="619">
        <f t="shared" si="226"/>
        <v>481650</v>
      </c>
    </row>
    <row r="409" spans="1:15" s="631" customFormat="1" ht="33" thickTop="1" thickBot="1" x14ac:dyDescent="0.3">
      <c r="A409" s="620"/>
      <c r="B409" s="619" t="s">
        <v>812</v>
      </c>
      <c r="C409" s="619">
        <f t="shared" ref="C409:O409" si="227">SUM(C397+C405)</f>
        <v>69774</v>
      </c>
      <c r="D409" s="619">
        <f t="shared" si="227"/>
        <v>0</v>
      </c>
      <c r="E409" s="619">
        <f t="shared" si="227"/>
        <v>989</v>
      </c>
      <c r="F409" s="619">
        <f t="shared" si="227"/>
        <v>0</v>
      </c>
      <c r="G409" s="619">
        <f t="shared" si="227"/>
        <v>0</v>
      </c>
      <c r="H409" s="619">
        <f t="shared" si="227"/>
        <v>0</v>
      </c>
      <c r="I409" s="619">
        <f t="shared" si="227"/>
        <v>0</v>
      </c>
      <c r="J409" s="619">
        <f t="shared" si="227"/>
        <v>70763</v>
      </c>
      <c r="K409" s="619">
        <f t="shared" si="227"/>
        <v>0</v>
      </c>
      <c r="L409" s="619">
        <f t="shared" si="227"/>
        <v>70763</v>
      </c>
      <c r="M409" s="619">
        <f t="shared" si="227"/>
        <v>759266</v>
      </c>
      <c r="N409" s="619">
        <f t="shared" si="227"/>
        <v>0</v>
      </c>
      <c r="O409" s="619">
        <f t="shared" si="227"/>
        <v>830029</v>
      </c>
    </row>
    <row r="410" spans="1:15" s="631" customFormat="1" ht="17.25" thickTop="1" thickBot="1" x14ac:dyDescent="0.3">
      <c r="A410" s="620"/>
      <c r="B410" s="619" t="s">
        <v>728</v>
      </c>
      <c r="C410" s="619">
        <f t="shared" ref="C410:O410" si="228">SUM(C392+C406)</f>
        <v>1079908</v>
      </c>
      <c r="D410" s="619">
        <f t="shared" si="228"/>
        <v>0</v>
      </c>
      <c r="E410" s="619">
        <f t="shared" si="228"/>
        <v>989</v>
      </c>
      <c r="F410" s="619">
        <f t="shared" si="228"/>
        <v>1580990</v>
      </c>
      <c r="G410" s="619">
        <f t="shared" si="228"/>
        <v>0</v>
      </c>
      <c r="H410" s="619">
        <f t="shared" si="228"/>
        <v>163219</v>
      </c>
      <c r="I410" s="619">
        <f t="shared" si="228"/>
        <v>0</v>
      </c>
      <c r="J410" s="619">
        <f t="shared" si="228"/>
        <v>2825106</v>
      </c>
      <c r="K410" s="619">
        <f t="shared" si="228"/>
        <v>0</v>
      </c>
      <c r="L410" s="619">
        <f t="shared" si="228"/>
        <v>2825106</v>
      </c>
      <c r="M410" s="619">
        <f t="shared" si="228"/>
        <v>9639015</v>
      </c>
      <c r="N410" s="619">
        <f t="shared" si="228"/>
        <v>283044</v>
      </c>
      <c r="O410" s="619">
        <f t="shared" si="228"/>
        <v>12747165</v>
      </c>
    </row>
    <row r="411" spans="1:15" s="631" customFormat="1" ht="17.25" thickTop="1" thickBot="1" x14ac:dyDescent="0.3">
      <c r="A411" s="620"/>
      <c r="B411" s="619" t="s">
        <v>653</v>
      </c>
      <c r="C411" s="619">
        <f t="shared" ref="C411:O411" si="229">SUM(C6+C17+C31+C44+C56+C68+C80+C92+C105+C116+C127+C138+C150+C162+C174+C187+C199+C210+C221+C233+C246+C259+C272+C286+C299+C310+C319+C334+C352+C362+C374+C394)</f>
        <v>1057410</v>
      </c>
      <c r="D411" s="619">
        <f t="shared" si="229"/>
        <v>0</v>
      </c>
      <c r="E411" s="619">
        <f t="shared" si="229"/>
        <v>989</v>
      </c>
      <c r="F411" s="619">
        <f t="shared" si="229"/>
        <v>1580990</v>
      </c>
      <c r="G411" s="619">
        <f t="shared" si="229"/>
        <v>0</v>
      </c>
      <c r="H411" s="619">
        <f t="shared" si="229"/>
        <v>155222</v>
      </c>
      <c r="I411" s="619">
        <f t="shared" si="229"/>
        <v>0</v>
      </c>
      <c r="J411" s="619">
        <f t="shared" si="229"/>
        <v>2794611</v>
      </c>
      <c r="K411" s="619">
        <f t="shared" si="229"/>
        <v>0</v>
      </c>
      <c r="L411" s="619">
        <f t="shared" si="229"/>
        <v>2794611</v>
      </c>
      <c r="M411" s="619">
        <f t="shared" si="229"/>
        <v>9486336</v>
      </c>
      <c r="N411" s="619">
        <f t="shared" si="229"/>
        <v>283044</v>
      </c>
      <c r="O411" s="619">
        <f t="shared" si="229"/>
        <v>12563991</v>
      </c>
    </row>
    <row r="412" spans="1:15" s="631" customFormat="1" ht="16.5" thickTop="1" x14ac:dyDescent="0.25">
      <c r="A412" s="634"/>
      <c r="B412" s="622" t="s">
        <v>178</v>
      </c>
      <c r="C412" s="625"/>
      <c r="D412" s="625"/>
      <c r="E412" s="625"/>
      <c r="F412" s="625"/>
      <c r="G412" s="625"/>
      <c r="H412" s="625"/>
      <c r="I412" s="625"/>
      <c r="J412" s="632"/>
      <c r="K412" s="632"/>
      <c r="L412" s="632"/>
      <c r="M412" s="632"/>
      <c r="N412" s="632"/>
      <c r="O412" s="632"/>
    </row>
    <row r="413" spans="1:15" s="631" customFormat="1" x14ac:dyDescent="0.25">
      <c r="A413" s="633"/>
      <c r="B413" s="777" t="s">
        <v>1110</v>
      </c>
      <c r="C413" s="621">
        <f t="shared" ref="C413:O413" si="230">C10+C21+C35+C48+C60+C72+C84+C96+C109+C120+C131+C142+C154+C166+C178+C191+C203+C214+C225+C237+C250+C263+C276+C290+C323+C338+C378+C399</f>
        <v>0</v>
      </c>
      <c r="D413" s="621">
        <f t="shared" si="230"/>
        <v>0</v>
      </c>
      <c r="E413" s="621">
        <f t="shared" si="230"/>
        <v>0</v>
      </c>
      <c r="F413" s="621">
        <f t="shared" si="230"/>
        <v>0</v>
      </c>
      <c r="G413" s="621">
        <f t="shared" si="230"/>
        <v>0</v>
      </c>
      <c r="H413" s="621">
        <f t="shared" si="230"/>
        <v>0</v>
      </c>
      <c r="I413" s="621">
        <f t="shared" si="230"/>
        <v>0</v>
      </c>
      <c r="J413" s="621">
        <f t="shared" si="230"/>
        <v>0</v>
      </c>
      <c r="K413" s="621">
        <f t="shared" si="230"/>
        <v>0</v>
      </c>
      <c r="L413" s="621">
        <f t="shared" si="230"/>
        <v>0</v>
      </c>
      <c r="M413" s="621">
        <f t="shared" si="230"/>
        <v>13836</v>
      </c>
      <c r="N413" s="621">
        <f t="shared" si="230"/>
        <v>0</v>
      </c>
      <c r="O413" s="621">
        <f t="shared" si="230"/>
        <v>13836</v>
      </c>
    </row>
    <row r="414" spans="1:15" s="631" customFormat="1" ht="31.5" x14ac:dyDescent="0.25">
      <c r="A414" s="633"/>
      <c r="B414" s="777" t="s">
        <v>1112</v>
      </c>
      <c r="C414" s="621">
        <f t="shared" ref="C414:O414" si="231">C22+C36+C49+C61+C73+C85+C97+C251+C264+C277</f>
        <v>0</v>
      </c>
      <c r="D414" s="621">
        <f t="shared" si="231"/>
        <v>0</v>
      </c>
      <c r="E414" s="621">
        <f t="shared" si="231"/>
        <v>0</v>
      </c>
      <c r="F414" s="621">
        <f t="shared" si="231"/>
        <v>0</v>
      </c>
      <c r="G414" s="621">
        <f t="shared" si="231"/>
        <v>0</v>
      </c>
      <c r="H414" s="621">
        <f t="shared" si="231"/>
        <v>0</v>
      </c>
      <c r="I414" s="621">
        <f t="shared" si="231"/>
        <v>0</v>
      </c>
      <c r="J414" s="621">
        <f t="shared" si="231"/>
        <v>0</v>
      </c>
      <c r="K414" s="621">
        <f t="shared" si="231"/>
        <v>0</v>
      </c>
      <c r="L414" s="621">
        <f t="shared" si="231"/>
        <v>0</v>
      </c>
      <c r="M414" s="621">
        <f t="shared" si="231"/>
        <v>7654</v>
      </c>
      <c r="N414" s="621">
        <f t="shared" si="231"/>
        <v>0</v>
      </c>
      <c r="O414" s="621">
        <f t="shared" si="231"/>
        <v>7654</v>
      </c>
    </row>
    <row r="415" spans="1:15" s="631" customFormat="1" ht="31.5" x14ac:dyDescent="0.25">
      <c r="A415" s="634"/>
      <c r="B415" s="621" t="s">
        <v>1121</v>
      </c>
      <c r="C415" s="621">
        <f t="shared" ref="C415:O415" si="232">C324</f>
        <v>0</v>
      </c>
      <c r="D415" s="621">
        <f t="shared" si="232"/>
        <v>0</v>
      </c>
      <c r="E415" s="621">
        <f t="shared" si="232"/>
        <v>0</v>
      </c>
      <c r="F415" s="621">
        <f t="shared" si="232"/>
        <v>0</v>
      </c>
      <c r="G415" s="621">
        <f t="shared" si="232"/>
        <v>0</v>
      </c>
      <c r="H415" s="621">
        <f t="shared" si="232"/>
        <v>0</v>
      </c>
      <c r="I415" s="621">
        <f t="shared" si="232"/>
        <v>0</v>
      </c>
      <c r="J415" s="621">
        <f t="shared" si="232"/>
        <v>0</v>
      </c>
      <c r="K415" s="621">
        <f t="shared" si="232"/>
        <v>0</v>
      </c>
      <c r="L415" s="621">
        <f t="shared" si="232"/>
        <v>0</v>
      </c>
      <c r="M415" s="621">
        <f t="shared" si="232"/>
        <v>7348</v>
      </c>
      <c r="N415" s="621">
        <f t="shared" si="232"/>
        <v>0</v>
      </c>
      <c r="O415" s="621">
        <f t="shared" si="232"/>
        <v>7348</v>
      </c>
    </row>
    <row r="416" spans="1:15" s="631" customFormat="1" x14ac:dyDescent="0.25">
      <c r="A416" s="634"/>
      <c r="B416" s="621" t="s">
        <v>942</v>
      </c>
      <c r="C416" s="621">
        <f t="shared" ref="C416:O416" si="233">C291+C252+C325+C339+C167+C179+C265</f>
        <v>0</v>
      </c>
      <c r="D416" s="621">
        <f t="shared" si="233"/>
        <v>0</v>
      </c>
      <c r="E416" s="621">
        <f t="shared" si="233"/>
        <v>0</v>
      </c>
      <c r="F416" s="621">
        <f t="shared" si="233"/>
        <v>0</v>
      </c>
      <c r="G416" s="621">
        <f t="shared" si="233"/>
        <v>0</v>
      </c>
      <c r="H416" s="621">
        <f t="shared" si="233"/>
        <v>0</v>
      </c>
      <c r="I416" s="621">
        <f t="shared" si="233"/>
        <v>0</v>
      </c>
      <c r="J416" s="621">
        <f t="shared" si="233"/>
        <v>0</v>
      </c>
      <c r="K416" s="621">
        <f t="shared" si="233"/>
        <v>0</v>
      </c>
      <c r="L416" s="621">
        <f t="shared" si="233"/>
        <v>0</v>
      </c>
      <c r="M416" s="621">
        <f t="shared" si="233"/>
        <v>9115</v>
      </c>
      <c r="N416" s="621">
        <f t="shared" si="233"/>
        <v>0</v>
      </c>
      <c r="O416" s="621">
        <f t="shared" si="233"/>
        <v>9115</v>
      </c>
    </row>
    <row r="417" spans="1:15" s="631" customFormat="1" ht="31.5" x14ac:dyDescent="0.25">
      <c r="A417" s="633"/>
      <c r="B417" s="777" t="s">
        <v>941</v>
      </c>
      <c r="C417" s="621">
        <f t="shared" ref="C417:O417" si="234">C37+C143+C155+C180+C192+C292+C326</f>
        <v>0</v>
      </c>
      <c r="D417" s="621">
        <f t="shared" si="234"/>
        <v>0</v>
      </c>
      <c r="E417" s="621">
        <f t="shared" si="234"/>
        <v>0</v>
      </c>
      <c r="F417" s="621">
        <f t="shared" si="234"/>
        <v>0</v>
      </c>
      <c r="G417" s="621">
        <f t="shared" si="234"/>
        <v>0</v>
      </c>
      <c r="H417" s="621">
        <f t="shared" si="234"/>
        <v>0</v>
      </c>
      <c r="I417" s="621">
        <f t="shared" si="234"/>
        <v>0</v>
      </c>
      <c r="J417" s="621">
        <f t="shared" si="234"/>
        <v>0</v>
      </c>
      <c r="K417" s="621">
        <f t="shared" si="234"/>
        <v>0</v>
      </c>
      <c r="L417" s="621">
        <f t="shared" si="234"/>
        <v>0</v>
      </c>
      <c r="M417" s="621">
        <f t="shared" si="234"/>
        <v>2947</v>
      </c>
      <c r="N417" s="621">
        <f t="shared" si="234"/>
        <v>0</v>
      </c>
      <c r="O417" s="621">
        <f t="shared" si="234"/>
        <v>2947</v>
      </c>
    </row>
    <row r="418" spans="1:15" s="631" customFormat="1" ht="31.5" x14ac:dyDescent="0.25">
      <c r="A418" s="634"/>
      <c r="B418" s="621" t="s">
        <v>1123</v>
      </c>
      <c r="C418" s="621">
        <f t="shared" ref="C418:O418" si="235">C340</f>
        <v>1000</v>
      </c>
      <c r="D418" s="621">
        <f t="shared" si="235"/>
        <v>0</v>
      </c>
      <c r="E418" s="621">
        <f t="shared" si="235"/>
        <v>0</v>
      </c>
      <c r="F418" s="621">
        <f t="shared" si="235"/>
        <v>0</v>
      </c>
      <c r="G418" s="621">
        <f t="shared" si="235"/>
        <v>0</v>
      </c>
      <c r="H418" s="621">
        <f t="shared" si="235"/>
        <v>0</v>
      </c>
      <c r="I418" s="621">
        <f t="shared" si="235"/>
        <v>0</v>
      </c>
      <c r="J418" s="621">
        <f t="shared" si="235"/>
        <v>1000</v>
      </c>
      <c r="K418" s="621">
        <f t="shared" si="235"/>
        <v>0</v>
      </c>
      <c r="L418" s="621">
        <f t="shared" si="235"/>
        <v>1000</v>
      </c>
      <c r="M418" s="621">
        <f t="shared" si="235"/>
        <v>-1000</v>
      </c>
      <c r="N418" s="621">
        <f t="shared" si="235"/>
        <v>0</v>
      </c>
      <c r="O418" s="621">
        <f t="shared" si="235"/>
        <v>0</v>
      </c>
    </row>
    <row r="419" spans="1:15" s="631" customFormat="1" ht="31.5" x14ac:dyDescent="0.25">
      <c r="A419" s="634"/>
      <c r="B419" s="621" t="s">
        <v>1140</v>
      </c>
      <c r="C419" s="621">
        <f t="shared" ref="C419:O419" si="236">C278</f>
        <v>6924</v>
      </c>
      <c r="D419" s="621">
        <f t="shared" si="236"/>
        <v>0</v>
      </c>
      <c r="E419" s="621">
        <f t="shared" si="236"/>
        <v>0</v>
      </c>
      <c r="F419" s="621">
        <f t="shared" si="236"/>
        <v>0</v>
      </c>
      <c r="G419" s="621">
        <f t="shared" si="236"/>
        <v>0</v>
      </c>
      <c r="H419" s="621">
        <f t="shared" si="236"/>
        <v>0</v>
      </c>
      <c r="I419" s="621">
        <f t="shared" si="236"/>
        <v>0</v>
      </c>
      <c r="J419" s="621">
        <f t="shared" si="236"/>
        <v>6924</v>
      </c>
      <c r="K419" s="621">
        <f t="shared" si="236"/>
        <v>0</v>
      </c>
      <c r="L419" s="621">
        <f t="shared" si="236"/>
        <v>6924</v>
      </c>
      <c r="M419" s="621">
        <f t="shared" si="236"/>
        <v>0</v>
      </c>
      <c r="N419" s="621">
        <f t="shared" si="236"/>
        <v>0</v>
      </c>
      <c r="O419" s="621">
        <f t="shared" si="236"/>
        <v>6924</v>
      </c>
    </row>
    <row r="420" spans="1:15" s="631" customFormat="1" ht="31.5" x14ac:dyDescent="0.25">
      <c r="A420" s="633"/>
      <c r="B420" s="777" t="s">
        <v>1141</v>
      </c>
      <c r="C420" s="621">
        <f t="shared" ref="C420:O422" si="237">C341</f>
        <v>0</v>
      </c>
      <c r="D420" s="621">
        <f t="shared" si="237"/>
        <v>0</v>
      </c>
      <c r="E420" s="621">
        <f t="shared" si="237"/>
        <v>0</v>
      </c>
      <c r="F420" s="621">
        <f t="shared" si="237"/>
        <v>0</v>
      </c>
      <c r="G420" s="621">
        <f t="shared" si="237"/>
        <v>0</v>
      </c>
      <c r="H420" s="621">
        <f t="shared" si="237"/>
        <v>0</v>
      </c>
      <c r="I420" s="621">
        <f t="shared" si="237"/>
        <v>0</v>
      </c>
      <c r="J420" s="621">
        <f t="shared" si="237"/>
        <v>0</v>
      </c>
      <c r="K420" s="621">
        <f t="shared" si="237"/>
        <v>0</v>
      </c>
      <c r="L420" s="621">
        <f t="shared" si="237"/>
        <v>0</v>
      </c>
      <c r="M420" s="621">
        <f t="shared" si="237"/>
        <v>713</v>
      </c>
      <c r="N420" s="621">
        <f t="shared" si="237"/>
        <v>0</v>
      </c>
      <c r="O420" s="621">
        <f t="shared" si="237"/>
        <v>713</v>
      </c>
    </row>
    <row r="421" spans="1:15" ht="31.5" x14ac:dyDescent="0.25">
      <c r="A421" s="634"/>
      <c r="B421" s="621" t="s">
        <v>1142</v>
      </c>
      <c r="C421" s="621">
        <f t="shared" si="237"/>
        <v>0</v>
      </c>
      <c r="D421" s="621">
        <f t="shared" si="237"/>
        <v>0</v>
      </c>
      <c r="E421" s="621">
        <f t="shared" si="237"/>
        <v>0</v>
      </c>
      <c r="F421" s="621">
        <f t="shared" si="237"/>
        <v>0</v>
      </c>
      <c r="G421" s="621">
        <f t="shared" si="237"/>
        <v>0</v>
      </c>
      <c r="H421" s="621">
        <f t="shared" si="237"/>
        <v>0</v>
      </c>
      <c r="I421" s="621">
        <f t="shared" si="237"/>
        <v>0</v>
      </c>
      <c r="J421" s="621">
        <f t="shared" si="237"/>
        <v>0</v>
      </c>
      <c r="K421" s="621">
        <f t="shared" si="237"/>
        <v>0</v>
      </c>
      <c r="L421" s="621">
        <f t="shared" si="237"/>
        <v>0</v>
      </c>
      <c r="M421" s="621">
        <f t="shared" si="237"/>
        <v>20000</v>
      </c>
      <c r="N421" s="621">
        <f t="shared" si="237"/>
        <v>0</v>
      </c>
      <c r="O421" s="621">
        <f t="shared" si="237"/>
        <v>20000</v>
      </c>
    </row>
    <row r="422" spans="1:15" ht="47.25" x14ac:dyDescent="0.25">
      <c r="A422" s="633"/>
      <c r="B422" s="777" t="s">
        <v>1143</v>
      </c>
      <c r="C422" s="777">
        <f t="shared" si="237"/>
        <v>0</v>
      </c>
      <c r="D422" s="777">
        <f t="shared" si="237"/>
        <v>0</v>
      </c>
      <c r="E422" s="777">
        <f t="shared" si="237"/>
        <v>0</v>
      </c>
      <c r="F422" s="777">
        <f t="shared" si="237"/>
        <v>0</v>
      </c>
      <c r="G422" s="777">
        <f t="shared" si="237"/>
        <v>0</v>
      </c>
      <c r="H422" s="777">
        <f t="shared" si="237"/>
        <v>0</v>
      </c>
      <c r="I422" s="777">
        <f t="shared" si="237"/>
        <v>0</v>
      </c>
      <c r="J422" s="777">
        <f t="shared" si="237"/>
        <v>0</v>
      </c>
      <c r="K422" s="777">
        <f t="shared" si="237"/>
        <v>0</v>
      </c>
      <c r="L422" s="777">
        <f t="shared" si="237"/>
        <v>0</v>
      </c>
      <c r="M422" s="777">
        <f t="shared" si="237"/>
        <v>7214</v>
      </c>
      <c r="N422" s="777">
        <f t="shared" si="237"/>
        <v>0</v>
      </c>
      <c r="O422" s="777">
        <f t="shared" si="237"/>
        <v>7214</v>
      </c>
    </row>
    <row r="423" spans="1:15" ht="31.5" x14ac:dyDescent="0.25">
      <c r="A423" s="633"/>
      <c r="B423" s="777" t="s">
        <v>1144</v>
      </c>
      <c r="C423" s="777">
        <f t="shared" ref="C423:O423" si="238">SUM(C400)</f>
        <v>0</v>
      </c>
      <c r="D423" s="777">
        <f t="shared" si="238"/>
        <v>0</v>
      </c>
      <c r="E423" s="777">
        <f t="shared" si="238"/>
        <v>0</v>
      </c>
      <c r="F423" s="777">
        <f t="shared" si="238"/>
        <v>0</v>
      </c>
      <c r="G423" s="777">
        <f t="shared" si="238"/>
        <v>0</v>
      </c>
      <c r="H423" s="777">
        <f t="shared" si="238"/>
        <v>0</v>
      </c>
      <c r="I423" s="777">
        <f t="shared" si="238"/>
        <v>0</v>
      </c>
      <c r="J423" s="777">
        <f t="shared" si="238"/>
        <v>0</v>
      </c>
      <c r="K423" s="777">
        <f t="shared" si="238"/>
        <v>0</v>
      </c>
      <c r="L423" s="777">
        <f t="shared" si="238"/>
        <v>0</v>
      </c>
      <c r="M423" s="777">
        <f t="shared" si="238"/>
        <v>25335</v>
      </c>
      <c r="N423" s="777">
        <f t="shared" si="238"/>
        <v>0</v>
      </c>
      <c r="O423" s="777">
        <f t="shared" si="238"/>
        <v>25335</v>
      </c>
    </row>
    <row r="424" spans="1:15" x14ac:dyDescent="0.25">
      <c r="A424" s="634"/>
      <c r="B424" s="622" t="s">
        <v>179</v>
      </c>
      <c r="C424" s="621"/>
      <c r="D424" s="621"/>
      <c r="E424" s="621"/>
      <c r="F424" s="621"/>
      <c r="G424" s="621"/>
      <c r="H424" s="621"/>
      <c r="I424" s="621"/>
      <c r="J424" s="621"/>
      <c r="K424" s="621"/>
      <c r="L424" s="621"/>
      <c r="M424" s="621"/>
      <c r="N424" s="621"/>
      <c r="O424" s="621"/>
    </row>
    <row r="425" spans="1:15" x14ac:dyDescent="0.25">
      <c r="A425" s="633"/>
      <c r="B425" s="777" t="s">
        <v>1110</v>
      </c>
      <c r="C425" s="621">
        <f t="shared" ref="C425:O425" si="239">C302+C313+C365</f>
        <v>0</v>
      </c>
      <c r="D425" s="621">
        <f t="shared" si="239"/>
        <v>0</v>
      </c>
      <c r="E425" s="621">
        <f t="shared" si="239"/>
        <v>0</v>
      </c>
      <c r="F425" s="621">
        <f t="shared" si="239"/>
        <v>0</v>
      </c>
      <c r="G425" s="621">
        <f t="shared" si="239"/>
        <v>0</v>
      </c>
      <c r="H425" s="621">
        <f t="shared" si="239"/>
        <v>0</v>
      </c>
      <c r="I425" s="621">
        <f t="shared" si="239"/>
        <v>0</v>
      </c>
      <c r="J425" s="621">
        <f t="shared" si="239"/>
        <v>0</v>
      </c>
      <c r="K425" s="621">
        <f t="shared" si="239"/>
        <v>0</v>
      </c>
      <c r="L425" s="621">
        <f t="shared" si="239"/>
        <v>0</v>
      </c>
      <c r="M425" s="621">
        <f t="shared" si="239"/>
        <v>1594</v>
      </c>
      <c r="N425" s="621">
        <f t="shared" si="239"/>
        <v>0</v>
      </c>
      <c r="O425" s="621">
        <f t="shared" si="239"/>
        <v>1594</v>
      </c>
    </row>
    <row r="426" spans="1:15" s="631" customFormat="1" x14ac:dyDescent="0.25">
      <c r="A426" s="633"/>
      <c r="B426" s="777" t="s">
        <v>1111</v>
      </c>
      <c r="C426" s="621">
        <f t="shared" ref="C426:O426" si="240">C12+C24+C39+C51+C63+C75+C87+C99+C111+C122+C133+C145+C157+C169+C182+C194+C205+C216+C227+C239+C254+C267+C280+C294+C303+C314+C328+C345+C355+C366+C380</f>
        <v>0</v>
      </c>
      <c r="D426" s="621">
        <f t="shared" si="240"/>
        <v>0</v>
      </c>
      <c r="E426" s="621">
        <f t="shared" si="240"/>
        <v>0</v>
      </c>
      <c r="F426" s="621">
        <f t="shared" si="240"/>
        <v>0</v>
      </c>
      <c r="G426" s="621">
        <f t="shared" si="240"/>
        <v>0</v>
      </c>
      <c r="H426" s="621">
        <f t="shared" si="240"/>
        <v>0</v>
      </c>
      <c r="I426" s="621">
        <f t="shared" si="240"/>
        <v>0</v>
      </c>
      <c r="J426" s="621">
        <f t="shared" si="240"/>
        <v>0</v>
      </c>
      <c r="K426" s="621">
        <f t="shared" si="240"/>
        <v>0</v>
      </c>
      <c r="L426" s="621">
        <f t="shared" si="240"/>
        <v>0</v>
      </c>
      <c r="M426" s="621">
        <f t="shared" si="240"/>
        <v>34942</v>
      </c>
      <c r="N426" s="621">
        <f t="shared" si="240"/>
        <v>0</v>
      </c>
      <c r="O426" s="621">
        <f t="shared" si="240"/>
        <v>34942</v>
      </c>
    </row>
    <row r="427" spans="1:15" s="631" customFormat="1" ht="31.5" x14ac:dyDescent="0.25">
      <c r="A427" s="634"/>
      <c r="B427" s="777" t="s">
        <v>941</v>
      </c>
      <c r="C427" s="621">
        <f t="shared" ref="C427:O427" si="241">C304+C367</f>
        <v>0</v>
      </c>
      <c r="D427" s="621">
        <f t="shared" si="241"/>
        <v>0</v>
      </c>
      <c r="E427" s="621">
        <f t="shared" si="241"/>
        <v>0</v>
      </c>
      <c r="F427" s="621">
        <f t="shared" si="241"/>
        <v>0</v>
      </c>
      <c r="G427" s="621">
        <f t="shared" si="241"/>
        <v>0</v>
      </c>
      <c r="H427" s="621">
        <f t="shared" si="241"/>
        <v>0</v>
      </c>
      <c r="I427" s="621">
        <f t="shared" si="241"/>
        <v>0</v>
      </c>
      <c r="J427" s="621">
        <f t="shared" si="241"/>
        <v>0</v>
      </c>
      <c r="K427" s="621">
        <f t="shared" si="241"/>
        <v>0</v>
      </c>
      <c r="L427" s="621">
        <f t="shared" si="241"/>
        <v>0</v>
      </c>
      <c r="M427" s="621">
        <f t="shared" si="241"/>
        <v>305</v>
      </c>
      <c r="N427" s="621">
        <f t="shared" si="241"/>
        <v>0</v>
      </c>
      <c r="O427" s="621">
        <f t="shared" si="241"/>
        <v>305</v>
      </c>
    </row>
    <row r="428" spans="1:15" x14ac:dyDescent="0.25">
      <c r="A428" s="634"/>
      <c r="B428" s="621" t="s">
        <v>1145</v>
      </c>
      <c r="C428" s="621">
        <f t="shared" ref="C428:O428" si="242">C228+C329+C305+C382+C383+C384+C385+C386</f>
        <v>0</v>
      </c>
      <c r="D428" s="621">
        <f t="shared" si="242"/>
        <v>0</v>
      </c>
      <c r="E428" s="621">
        <f t="shared" si="242"/>
        <v>0</v>
      </c>
      <c r="F428" s="621">
        <f t="shared" si="242"/>
        <v>0</v>
      </c>
      <c r="G428" s="621">
        <f t="shared" si="242"/>
        <v>0</v>
      </c>
      <c r="H428" s="621">
        <f t="shared" si="242"/>
        <v>0</v>
      </c>
      <c r="I428" s="621">
        <f t="shared" si="242"/>
        <v>0</v>
      </c>
      <c r="J428" s="621">
        <f t="shared" si="242"/>
        <v>0</v>
      </c>
      <c r="K428" s="621">
        <f t="shared" si="242"/>
        <v>0</v>
      </c>
      <c r="L428" s="621">
        <f t="shared" si="242"/>
        <v>0</v>
      </c>
      <c r="M428" s="621">
        <f t="shared" si="242"/>
        <v>608</v>
      </c>
      <c r="N428" s="621">
        <f t="shared" si="242"/>
        <v>0</v>
      </c>
      <c r="O428" s="621">
        <f t="shared" si="242"/>
        <v>608</v>
      </c>
    </row>
    <row r="429" spans="1:15" x14ac:dyDescent="0.25">
      <c r="A429" s="633"/>
      <c r="B429" s="777" t="s">
        <v>943</v>
      </c>
      <c r="C429" s="621">
        <f t="shared" ref="C429:O429" si="243">C25+C381</f>
        <v>0</v>
      </c>
      <c r="D429" s="621">
        <f t="shared" si="243"/>
        <v>0</v>
      </c>
      <c r="E429" s="621">
        <f t="shared" si="243"/>
        <v>0</v>
      </c>
      <c r="F429" s="621">
        <f t="shared" si="243"/>
        <v>0</v>
      </c>
      <c r="G429" s="621">
        <f t="shared" si="243"/>
        <v>0</v>
      </c>
      <c r="H429" s="621">
        <f t="shared" si="243"/>
        <v>0</v>
      </c>
      <c r="I429" s="621">
        <f t="shared" si="243"/>
        <v>0</v>
      </c>
      <c r="J429" s="621">
        <f t="shared" si="243"/>
        <v>0</v>
      </c>
      <c r="K429" s="621">
        <f t="shared" si="243"/>
        <v>0</v>
      </c>
      <c r="L429" s="621">
        <f t="shared" si="243"/>
        <v>0</v>
      </c>
      <c r="M429" s="621">
        <f t="shared" si="243"/>
        <v>94</v>
      </c>
      <c r="N429" s="621">
        <f t="shared" si="243"/>
        <v>0</v>
      </c>
      <c r="O429" s="621">
        <f t="shared" si="243"/>
        <v>94</v>
      </c>
    </row>
    <row r="430" spans="1:15" x14ac:dyDescent="0.25">
      <c r="A430" s="634"/>
      <c r="B430" s="621" t="s">
        <v>1146</v>
      </c>
      <c r="C430" s="621">
        <f t="shared" ref="C430:O430" si="244">C368</f>
        <v>0</v>
      </c>
      <c r="D430" s="621">
        <f t="shared" si="244"/>
        <v>0</v>
      </c>
      <c r="E430" s="621">
        <f t="shared" si="244"/>
        <v>0</v>
      </c>
      <c r="F430" s="621">
        <f t="shared" si="244"/>
        <v>0</v>
      </c>
      <c r="G430" s="621">
        <f t="shared" si="244"/>
        <v>0</v>
      </c>
      <c r="H430" s="621">
        <f t="shared" si="244"/>
        <v>0</v>
      </c>
      <c r="I430" s="621">
        <f t="shared" si="244"/>
        <v>0</v>
      </c>
      <c r="J430" s="621">
        <f t="shared" si="244"/>
        <v>0</v>
      </c>
      <c r="K430" s="621">
        <f t="shared" si="244"/>
        <v>0</v>
      </c>
      <c r="L430" s="621">
        <f t="shared" si="244"/>
        <v>0</v>
      </c>
      <c r="M430" s="621">
        <f t="shared" si="244"/>
        <v>482</v>
      </c>
      <c r="N430" s="621">
        <f t="shared" si="244"/>
        <v>0</v>
      </c>
      <c r="O430" s="621">
        <f t="shared" si="244"/>
        <v>482</v>
      </c>
    </row>
    <row r="431" spans="1:15" x14ac:dyDescent="0.25">
      <c r="A431" s="634"/>
      <c r="B431" s="621" t="s">
        <v>1147</v>
      </c>
      <c r="C431" s="621">
        <f t="shared" ref="C431:O431" si="245">C387</f>
        <v>0</v>
      </c>
      <c r="D431" s="621">
        <f t="shared" si="245"/>
        <v>0</v>
      </c>
      <c r="E431" s="621">
        <f t="shared" si="245"/>
        <v>0</v>
      </c>
      <c r="F431" s="621">
        <f t="shared" si="245"/>
        <v>0</v>
      </c>
      <c r="G431" s="621">
        <f t="shared" si="245"/>
        <v>0</v>
      </c>
      <c r="H431" s="621">
        <f t="shared" si="245"/>
        <v>0</v>
      </c>
      <c r="I431" s="621">
        <f t="shared" si="245"/>
        <v>0</v>
      </c>
      <c r="J431" s="621">
        <f t="shared" si="245"/>
        <v>0</v>
      </c>
      <c r="K431" s="621">
        <f t="shared" si="245"/>
        <v>0</v>
      </c>
      <c r="L431" s="621">
        <f t="shared" si="245"/>
        <v>0</v>
      </c>
      <c r="M431" s="621">
        <f t="shared" si="245"/>
        <v>800</v>
      </c>
      <c r="N431" s="621">
        <f t="shared" si="245"/>
        <v>0</v>
      </c>
      <c r="O431" s="621">
        <f t="shared" si="245"/>
        <v>800</v>
      </c>
    </row>
    <row r="432" spans="1:15" x14ac:dyDescent="0.25">
      <c r="A432" s="633"/>
      <c r="B432" s="777" t="s">
        <v>1148</v>
      </c>
      <c r="C432" s="621">
        <f t="shared" ref="C432:O432" si="246">C369</f>
        <v>0</v>
      </c>
      <c r="D432" s="621">
        <f t="shared" si="246"/>
        <v>0</v>
      </c>
      <c r="E432" s="621">
        <f t="shared" si="246"/>
        <v>0</v>
      </c>
      <c r="F432" s="621">
        <f t="shared" si="246"/>
        <v>0</v>
      </c>
      <c r="G432" s="621">
        <f t="shared" si="246"/>
        <v>0</v>
      </c>
      <c r="H432" s="621">
        <f t="shared" si="246"/>
        <v>0</v>
      </c>
      <c r="I432" s="621">
        <f t="shared" si="246"/>
        <v>0</v>
      </c>
      <c r="J432" s="621">
        <f t="shared" si="246"/>
        <v>0</v>
      </c>
      <c r="K432" s="621">
        <f t="shared" si="246"/>
        <v>0</v>
      </c>
      <c r="L432" s="621">
        <f t="shared" si="246"/>
        <v>0</v>
      </c>
      <c r="M432" s="621">
        <f t="shared" si="246"/>
        <v>244</v>
      </c>
      <c r="N432" s="621">
        <f t="shared" si="246"/>
        <v>0</v>
      </c>
      <c r="O432" s="621">
        <f t="shared" si="246"/>
        <v>244</v>
      </c>
    </row>
    <row r="433" spans="1:15" ht="31.5" x14ac:dyDescent="0.25">
      <c r="A433" s="634"/>
      <c r="B433" s="621" t="s">
        <v>1123</v>
      </c>
      <c r="C433" s="621">
        <f t="shared" ref="C433:O433" si="247">C356</f>
        <v>6000</v>
      </c>
      <c r="D433" s="621">
        <f t="shared" si="247"/>
        <v>0</v>
      </c>
      <c r="E433" s="621">
        <f t="shared" si="247"/>
        <v>0</v>
      </c>
      <c r="F433" s="621">
        <f t="shared" si="247"/>
        <v>0</v>
      </c>
      <c r="G433" s="621">
        <f t="shared" si="247"/>
        <v>0</v>
      </c>
      <c r="H433" s="621">
        <f t="shared" si="247"/>
        <v>0</v>
      </c>
      <c r="I433" s="621">
        <f t="shared" si="247"/>
        <v>0</v>
      </c>
      <c r="J433" s="621">
        <f t="shared" si="247"/>
        <v>6000</v>
      </c>
      <c r="K433" s="621">
        <f t="shared" si="247"/>
        <v>0</v>
      </c>
      <c r="L433" s="621">
        <f t="shared" si="247"/>
        <v>6000</v>
      </c>
      <c r="M433" s="621">
        <f t="shared" si="247"/>
        <v>-6000</v>
      </c>
      <c r="N433" s="621">
        <f t="shared" si="247"/>
        <v>0</v>
      </c>
      <c r="O433" s="621">
        <f t="shared" si="247"/>
        <v>0</v>
      </c>
    </row>
    <row r="434" spans="1:15" ht="31.5" x14ac:dyDescent="0.25">
      <c r="A434" s="634"/>
      <c r="B434" s="621" t="s">
        <v>1120</v>
      </c>
      <c r="C434" s="621">
        <f t="shared" ref="C434:O434" si="248">C315+C346</f>
        <v>0</v>
      </c>
      <c r="D434" s="621">
        <f t="shared" si="248"/>
        <v>0</v>
      </c>
      <c r="E434" s="621">
        <f t="shared" si="248"/>
        <v>0</v>
      </c>
      <c r="F434" s="621">
        <f t="shared" si="248"/>
        <v>0</v>
      </c>
      <c r="G434" s="621">
        <f t="shared" si="248"/>
        <v>0</v>
      </c>
      <c r="H434" s="621">
        <f t="shared" si="248"/>
        <v>0</v>
      </c>
      <c r="I434" s="621">
        <f t="shared" si="248"/>
        <v>0</v>
      </c>
      <c r="J434" s="621">
        <f t="shared" si="248"/>
        <v>0</v>
      </c>
      <c r="K434" s="621">
        <f t="shared" si="248"/>
        <v>0</v>
      </c>
      <c r="L434" s="621">
        <f t="shared" si="248"/>
        <v>0</v>
      </c>
      <c r="M434" s="621">
        <f t="shared" si="248"/>
        <v>0</v>
      </c>
      <c r="N434" s="621">
        <f t="shared" si="248"/>
        <v>0</v>
      </c>
      <c r="O434" s="621">
        <f t="shared" si="248"/>
        <v>0</v>
      </c>
    </row>
    <row r="435" spans="1:15" ht="31.5" x14ac:dyDescent="0.25">
      <c r="A435" s="634"/>
      <c r="B435" s="621" t="s">
        <v>1140</v>
      </c>
      <c r="C435" s="621">
        <f t="shared" ref="C435:O435" si="249">C306+C347+C357+C370</f>
        <v>8574</v>
      </c>
      <c r="D435" s="621">
        <f t="shared" si="249"/>
        <v>0</v>
      </c>
      <c r="E435" s="621">
        <f t="shared" si="249"/>
        <v>0</v>
      </c>
      <c r="F435" s="621">
        <f t="shared" si="249"/>
        <v>0</v>
      </c>
      <c r="G435" s="621">
        <f t="shared" si="249"/>
        <v>0</v>
      </c>
      <c r="H435" s="621">
        <f t="shared" si="249"/>
        <v>7997</v>
      </c>
      <c r="I435" s="621">
        <f t="shared" si="249"/>
        <v>0</v>
      </c>
      <c r="J435" s="621">
        <f t="shared" si="249"/>
        <v>16571</v>
      </c>
      <c r="K435" s="621">
        <f t="shared" si="249"/>
        <v>0</v>
      </c>
      <c r="L435" s="621">
        <f t="shared" si="249"/>
        <v>16571</v>
      </c>
      <c r="M435" s="621">
        <f t="shared" si="249"/>
        <v>0</v>
      </c>
      <c r="N435" s="621">
        <f t="shared" si="249"/>
        <v>0</v>
      </c>
      <c r="O435" s="621">
        <f t="shared" si="249"/>
        <v>16571</v>
      </c>
    </row>
    <row r="436" spans="1:15" ht="31.5" x14ac:dyDescent="0.25">
      <c r="A436" s="634"/>
      <c r="B436" s="621" t="s">
        <v>1149</v>
      </c>
      <c r="C436" s="621">
        <f t="shared" ref="C436:O436" si="250">C358</f>
        <v>0</v>
      </c>
      <c r="D436" s="621">
        <f t="shared" si="250"/>
        <v>0</v>
      </c>
      <c r="E436" s="621">
        <f t="shared" si="250"/>
        <v>0</v>
      </c>
      <c r="F436" s="621">
        <f t="shared" si="250"/>
        <v>0</v>
      </c>
      <c r="G436" s="621">
        <f t="shared" si="250"/>
        <v>0</v>
      </c>
      <c r="H436" s="621">
        <f t="shared" si="250"/>
        <v>0</v>
      </c>
      <c r="I436" s="621">
        <f t="shared" si="250"/>
        <v>0</v>
      </c>
      <c r="J436" s="621">
        <f t="shared" si="250"/>
        <v>0</v>
      </c>
      <c r="K436" s="621">
        <f t="shared" si="250"/>
        <v>0</v>
      </c>
      <c r="L436" s="621">
        <f t="shared" si="250"/>
        <v>0</v>
      </c>
      <c r="M436" s="621">
        <f t="shared" si="250"/>
        <v>5000</v>
      </c>
      <c r="N436" s="621">
        <f t="shared" si="250"/>
        <v>0</v>
      </c>
      <c r="O436" s="621">
        <f t="shared" si="250"/>
        <v>5000</v>
      </c>
    </row>
    <row r="437" spans="1:15" ht="31.5" x14ac:dyDescent="0.25">
      <c r="A437" s="634"/>
      <c r="B437" s="621" t="s">
        <v>1144</v>
      </c>
      <c r="C437" s="621">
        <f t="shared" ref="C437:O437" si="251">SUM(C402)</f>
        <v>0</v>
      </c>
      <c r="D437" s="621">
        <f t="shared" si="251"/>
        <v>0</v>
      </c>
      <c r="E437" s="621">
        <f t="shared" si="251"/>
        <v>0</v>
      </c>
      <c r="F437" s="621">
        <f t="shared" si="251"/>
        <v>0</v>
      </c>
      <c r="G437" s="621">
        <f t="shared" si="251"/>
        <v>0</v>
      </c>
      <c r="H437" s="621">
        <f t="shared" si="251"/>
        <v>0</v>
      </c>
      <c r="I437" s="621">
        <f t="shared" si="251"/>
        <v>0</v>
      </c>
      <c r="J437" s="621">
        <f t="shared" si="251"/>
        <v>0</v>
      </c>
      <c r="K437" s="621">
        <f t="shared" si="251"/>
        <v>0</v>
      </c>
      <c r="L437" s="621">
        <f t="shared" si="251"/>
        <v>0</v>
      </c>
      <c r="M437" s="621">
        <f t="shared" si="251"/>
        <v>2500</v>
      </c>
      <c r="N437" s="621">
        <f t="shared" si="251"/>
        <v>0</v>
      </c>
      <c r="O437" s="621">
        <f t="shared" si="251"/>
        <v>2500</v>
      </c>
    </row>
    <row r="438" spans="1:15" ht="31.5" x14ac:dyDescent="0.25">
      <c r="A438" s="634"/>
      <c r="B438" s="621" t="s">
        <v>1150</v>
      </c>
      <c r="C438" s="621">
        <f t="shared" ref="C438:O438" si="252">SUM(C403)</f>
        <v>0</v>
      </c>
      <c r="D438" s="621">
        <f t="shared" si="252"/>
        <v>0</v>
      </c>
      <c r="E438" s="621">
        <f t="shared" si="252"/>
        <v>0</v>
      </c>
      <c r="F438" s="621">
        <f t="shared" si="252"/>
        <v>0</v>
      </c>
      <c r="G438" s="621">
        <f t="shared" si="252"/>
        <v>0</v>
      </c>
      <c r="H438" s="621">
        <f t="shared" si="252"/>
        <v>0</v>
      </c>
      <c r="I438" s="621">
        <f t="shared" si="252"/>
        <v>0</v>
      </c>
      <c r="J438" s="621">
        <f t="shared" si="252"/>
        <v>0</v>
      </c>
      <c r="K438" s="621">
        <f t="shared" si="252"/>
        <v>0</v>
      </c>
      <c r="L438" s="621">
        <f t="shared" si="252"/>
        <v>0</v>
      </c>
      <c r="M438" s="621">
        <f t="shared" si="252"/>
        <v>752</v>
      </c>
      <c r="N438" s="621">
        <f t="shared" si="252"/>
        <v>0</v>
      </c>
      <c r="O438" s="621">
        <f t="shared" si="252"/>
        <v>752</v>
      </c>
    </row>
    <row r="439" spans="1:15" x14ac:dyDescent="0.25">
      <c r="A439" s="634"/>
      <c r="B439" s="622" t="s">
        <v>538</v>
      </c>
      <c r="C439" s="621"/>
      <c r="D439" s="621"/>
      <c r="E439" s="621"/>
      <c r="F439" s="621"/>
      <c r="G439" s="621"/>
      <c r="H439" s="621"/>
      <c r="I439" s="621"/>
      <c r="J439" s="621"/>
      <c r="K439" s="621"/>
      <c r="L439" s="621"/>
      <c r="M439" s="621"/>
      <c r="N439" s="621"/>
      <c r="O439" s="621"/>
    </row>
    <row r="440" spans="1:15" s="631" customFormat="1" ht="32.25" thickBot="1" x14ac:dyDescent="0.3">
      <c r="A440" s="634"/>
      <c r="B440" s="621" t="s">
        <v>1144</v>
      </c>
      <c r="C440" s="621">
        <f t="shared" ref="C440:O440" si="253">SUM(C405)</f>
        <v>0</v>
      </c>
      <c r="D440" s="621">
        <f t="shared" si="253"/>
        <v>0</v>
      </c>
      <c r="E440" s="621">
        <f t="shared" si="253"/>
        <v>0</v>
      </c>
      <c r="F440" s="621">
        <f t="shared" si="253"/>
        <v>0</v>
      </c>
      <c r="G440" s="621">
        <f t="shared" si="253"/>
        <v>0</v>
      </c>
      <c r="H440" s="621">
        <f t="shared" si="253"/>
        <v>0</v>
      </c>
      <c r="I440" s="621">
        <f t="shared" si="253"/>
        <v>0</v>
      </c>
      <c r="J440" s="621">
        <f t="shared" si="253"/>
        <v>0</v>
      </c>
      <c r="K440" s="621">
        <f t="shared" si="253"/>
        <v>0</v>
      </c>
      <c r="L440" s="621">
        <f t="shared" si="253"/>
        <v>0</v>
      </c>
      <c r="M440" s="621">
        <f t="shared" si="253"/>
        <v>18196</v>
      </c>
      <c r="N440" s="621">
        <f t="shared" si="253"/>
        <v>0</v>
      </c>
      <c r="O440" s="621">
        <f t="shared" si="253"/>
        <v>18196</v>
      </c>
    </row>
    <row r="441" spans="1:15" ht="17.25" thickTop="1" thickBot="1" x14ac:dyDescent="0.3">
      <c r="A441" s="620"/>
      <c r="B441" s="619" t="s">
        <v>728</v>
      </c>
      <c r="C441" s="619">
        <f t="shared" ref="C441:O441" si="254">SUM(C411:C440)</f>
        <v>1079908</v>
      </c>
      <c r="D441" s="619">
        <f t="shared" si="254"/>
        <v>0</v>
      </c>
      <c r="E441" s="619">
        <f t="shared" si="254"/>
        <v>989</v>
      </c>
      <c r="F441" s="619">
        <f t="shared" si="254"/>
        <v>1580990</v>
      </c>
      <c r="G441" s="619">
        <f t="shared" si="254"/>
        <v>0</v>
      </c>
      <c r="H441" s="619">
        <f t="shared" si="254"/>
        <v>163219</v>
      </c>
      <c r="I441" s="619">
        <f t="shared" si="254"/>
        <v>0</v>
      </c>
      <c r="J441" s="619">
        <f t="shared" si="254"/>
        <v>2825106</v>
      </c>
      <c r="K441" s="619">
        <f t="shared" si="254"/>
        <v>0</v>
      </c>
      <c r="L441" s="619">
        <f t="shared" si="254"/>
        <v>2825106</v>
      </c>
      <c r="M441" s="619">
        <f t="shared" si="254"/>
        <v>9639015</v>
      </c>
      <c r="N441" s="619">
        <f t="shared" si="254"/>
        <v>283044</v>
      </c>
      <c r="O441" s="619">
        <f t="shared" si="254"/>
        <v>12747165</v>
      </c>
    </row>
    <row r="442" spans="1:15" s="631" customFormat="1" ht="17.25" thickTop="1" thickBot="1" x14ac:dyDescent="0.3">
      <c r="A442" s="620"/>
      <c r="B442" s="619" t="s">
        <v>735</v>
      </c>
      <c r="C442" s="619">
        <f t="shared" ref="C442:O442" si="255">SUM(C14+C27+C41+C53+C65+C77+C89+C101+C113+C124+C135+C147+C159+C171+C184+C196+C207+C218+C230+C241+C256+C269+C282+C296+C331+C349+C389+C407)</f>
        <v>696256</v>
      </c>
      <c r="D442" s="619">
        <f t="shared" si="255"/>
        <v>0</v>
      </c>
      <c r="E442" s="619">
        <f t="shared" si="255"/>
        <v>0</v>
      </c>
      <c r="F442" s="619">
        <f t="shared" si="255"/>
        <v>1215262</v>
      </c>
      <c r="G442" s="619">
        <f t="shared" si="255"/>
        <v>0</v>
      </c>
      <c r="H442" s="619">
        <f t="shared" si="255"/>
        <v>0</v>
      </c>
      <c r="I442" s="619">
        <f t="shared" si="255"/>
        <v>0</v>
      </c>
      <c r="J442" s="619">
        <f t="shared" si="255"/>
        <v>1911518</v>
      </c>
      <c r="K442" s="619">
        <f t="shared" si="255"/>
        <v>0</v>
      </c>
      <c r="L442" s="619">
        <f t="shared" si="255"/>
        <v>1911518</v>
      </c>
      <c r="M442" s="619">
        <f t="shared" si="255"/>
        <v>7455764</v>
      </c>
      <c r="N442" s="619">
        <f t="shared" si="255"/>
        <v>266603</v>
      </c>
      <c r="O442" s="619">
        <f t="shared" si="255"/>
        <v>9633885</v>
      </c>
    </row>
    <row r="443" spans="1:15" ht="17.25" thickTop="1" thickBot="1" x14ac:dyDescent="0.3">
      <c r="A443" s="620"/>
      <c r="B443" s="619" t="s">
        <v>734</v>
      </c>
      <c r="C443" s="619">
        <f t="shared" ref="C443:O443" si="256">SUM(C15+C28+C42+C54+C66+C78+C90+C102+C114+C125+C136+C148+C160+C172+C185+C197+C208+C219+C231+C242+C257+C270+C283+C297+C308+C317+C332+C350+C360+C372+C390+C408)</f>
        <v>313878</v>
      </c>
      <c r="D443" s="619">
        <f t="shared" si="256"/>
        <v>0</v>
      </c>
      <c r="E443" s="619">
        <f t="shared" si="256"/>
        <v>0</v>
      </c>
      <c r="F443" s="619">
        <f t="shared" si="256"/>
        <v>365728</v>
      </c>
      <c r="G443" s="619">
        <f t="shared" si="256"/>
        <v>0</v>
      </c>
      <c r="H443" s="619">
        <f t="shared" si="256"/>
        <v>163219</v>
      </c>
      <c r="I443" s="619">
        <f t="shared" si="256"/>
        <v>0</v>
      </c>
      <c r="J443" s="619">
        <f t="shared" si="256"/>
        <v>842825</v>
      </c>
      <c r="K443" s="619">
        <f t="shared" si="256"/>
        <v>0</v>
      </c>
      <c r="L443" s="619">
        <f t="shared" si="256"/>
        <v>842825</v>
      </c>
      <c r="M443" s="619">
        <f t="shared" si="256"/>
        <v>1423985</v>
      </c>
      <c r="N443" s="619">
        <f t="shared" si="256"/>
        <v>16441</v>
      </c>
      <c r="O443" s="619">
        <f t="shared" si="256"/>
        <v>2283251</v>
      </c>
    </row>
    <row r="444" spans="1:15" s="631" customFormat="1" ht="33" thickTop="1" thickBot="1" x14ac:dyDescent="0.3">
      <c r="A444" s="620"/>
      <c r="B444" s="619" t="s">
        <v>812</v>
      </c>
      <c r="C444" s="619">
        <f t="shared" ref="C444:O444" si="257">SUM(C409)</f>
        <v>69774</v>
      </c>
      <c r="D444" s="619">
        <f t="shared" si="257"/>
        <v>0</v>
      </c>
      <c r="E444" s="619">
        <f t="shared" si="257"/>
        <v>989</v>
      </c>
      <c r="F444" s="619">
        <f t="shared" si="257"/>
        <v>0</v>
      </c>
      <c r="G444" s="619">
        <f t="shared" si="257"/>
        <v>0</v>
      </c>
      <c r="H444" s="619">
        <f t="shared" si="257"/>
        <v>0</v>
      </c>
      <c r="I444" s="619">
        <f t="shared" si="257"/>
        <v>0</v>
      </c>
      <c r="J444" s="619">
        <f t="shared" si="257"/>
        <v>70763</v>
      </c>
      <c r="K444" s="619">
        <f t="shared" si="257"/>
        <v>0</v>
      </c>
      <c r="L444" s="619">
        <f t="shared" si="257"/>
        <v>70763</v>
      </c>
      <c r="M444" s="619">
        <f t="shared" si="257"/>
        <v>759266</v>
      </c>
      <c r="N444" s="619">
        <f t="shared" si="257"/>
        <v>0</v>
      </c>
      <c r="O444" s="619">
        <f t="shared" si="257"/>
        <v>830029</v>
      </c>
    </row>
    <row r="445" spans="1:15" ht="16.5" thickTop="1" x14ac:dyDescent="0.25"/>
  </sheetData>
  <mergeCells count="16">
    <mergeCell ref="F1:F2"/>
    <mergeCell ref="M1:N1"/>
    <mergeCell ref="O1:O2"/>
    <mergeCell ref="M3:N3"/>
    <mergeCell ref="M4:N4"/>
    <mergeCell ref="G1:G2"/>
    <mergeCell ref="H1:H2"/>
    <mergeCell ref="I1:I2"/>
    <mergeCell ref="J1:J2"/>
    <mergeCell ref="K1:K2"/>
    <mergeCell ref="L1:L2"/>
    <mergeCell ref="A1:A3"/>
    <mergeCell ref="B1:B2"/>
    <mergeCell ref="C1:C2"/>
    <mergeCell ref="D1:D2"/>
    <mergeCell ref="E1:E2"/>
  </mergeCells>
  <pageMargins left="0.11811023622047245" right="0.11811023622047245" top="0.74803149606299213" bottom="0.74803149606299213" header="0.31496062992125984" footer="0.31496062992125984"/>
  <pageSetup paperSize="9" scale="62" orientation="landscape" r:id="rId1"/>
  <headerFooter>
    <oddHeader>&amp;C&amp;"-,Félkövér"Költségvetési szervek 2016.évi bevételi előirányzata (eFt-ban)&amp;R&amp;"Times New Roman,Félkövér"&amp;11 6. melléklet a 28/2016.(VI.24.) önkormányzati rendelethez&amp;"-,Normál"&amp;12
&amp;"-,Dőlt"&amp;10 7.  melléklet
 a 3/2016.(II.12.) önkormányzati rendelethez</oddHeader>
    <oddFooter>&amp;C&amp;P.oldal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8"/>
  <sheetViews>
    <sheetView zoomScale="90" zoomScaleNormal="90" workbookViewId="0">
      <pane ySplit="6" topLeftCell="A437" activePane="bottomLeft" state="frozen"/>
      <selection activeCell="L16" sqref="L16"/>
      <selection pane="bottomLeft" activeCell="E448" sqref="E448"/>
    </sheetView>
  </sheetViews>
  <sheetFormatPr defaultRowHeight="15.75" x14ac:dyDescent="0.25"/>
  <cols>
    <col min="1" max="1" width="3.625" style="657" customWidth="1"/>
    <col min="2" max="2" width="36.75" style="657" customWidth="1"/>
    <col min="3" max="3" width="10.875" style="657" customWidth="1"/>
    <col min="4" max="4" width="15.625" style="657" customWidth="1"/>
    <col min="5" max="5" width="9.875" style="657" customWidth="1"/>
    <col min="6" max="6" width="11" style="657" customWidth="1"/>
    <col min="7" max="7" width="10.875" style="657" customWidth="1"/>
    <col min="8" max="8" width="11.125" style="657" customWidth="1"/>
    <col min="9" max="9" width="12.5" style="657" customWidth="1"/>
    <col min="10" max="10" width="11.5" style="657" customWidth="1"/>
    <col min="11" max="11" width="13.25" style="657" customWidth="1"/>
    <col min="12" max="12" width="13.125" style="657" customWidth="1"/>
    <col min="13" max="13" width="12.625" style="657" customWidth="1"/>
    <col min="14" max="14" width="14" style="657" customWidth="1"/>
    <col min="15" max="15" width="12.25" style="657" customWidth="1"/>
    <col min="16" max="16384" width="9" style="657"/>
  </cols>
  <sheetData>
    <row r="1" spans="1:15" x14ac:dyDescent="0.25">
      <c r="A1" s="969" t="s">
        <v>814</v>
      </c>
      <c r="B1" s="969"/>
      <c r="C1" s="969"/>
      <c r="D1" s="969"/>
      <c r="E1" s="969"/>
      <c r="F1" s="969"/>
      <c r="G1" s="969"/>
      <c r="H1" s="969"/>
      <c r="I1" s="969"/>
      <c r="J1" s="969"/>
      <c r="K1" s="969"/>
      <c r="L1" s="969"/>
      <c r="M1" s="969"/>
      <c r="N1" s="969"/>
      <c r="O1" s="969"/>
    </row>
    <row r="3" spans="1:15" ht="16.5" thickBot="1" x14ac:dyDescent="0.3"/>
    <row r="4" spans="1:15" ht="58.5" thickTop="1" thickBot="1" x14ac:dyDescent="0.3">
      <c r="A4" s="748" t="s">
        <v>806</v>
      </c>
      <c r="B4" s="747" t="s">
        <v>805</v>
      </c>
      <c r="C4" s="746" t="s">
        <v>31</v>
      </c>
      <c r="D4" s="742" t="s">
        <v>804</v>
      </c>
      <c r="E4" s="742" t="s">
        <v>81</v>
      </c>
      <c r="F4" s="743" t="s">
        <v>803</v>
      </c>
      <c r="G4" s="742" t="s">
        <v>802</v>
      </c>
      <c r="H4" s="742" t="s">
        <v>815</v>
      </c>
      <c r="I4" s="745" t="s">
        <v>76</v>
      </c>
      <c r="J4" s="744" t="s">
        <v>85</v>
      </c>
      <c r="K4" s="743" t="s">
        <v>331</v>
      </c>
      <c r="L4" s="742" t="s">
        <v>816</v>
      </c>
      <c r="M4" s="742" t="s">
        <v>332</v>
      </c>
      <c r="N4" s="742" t="s">
        <v>801</v>
      </c>
      <c r="O4" s="742" t="s">
        <v>800</v>
      </c>
    </row>
    <row r="5" spans="1:15" ht="17.25" thickTop="1" thickBot="1" x14ac:dyDescent="0.3">
      <c r="A5" s="748"/>
      <c r="B5" s="747"/>
      <c r="C5" s="746" t="s">
        <v>202</v>
      </c>
      <c r="D5" s="742" t="s">
        <v>203</v>
      </c>
      <c r="E5" s="742" t="s">
        <v>204</v>
      </c>
      <c r="F5" s="743" t="s">
        <v>205</v>
      </c>
      <c r="G5" s="742" t="s">
        <v>333</v>
      </c>
      <c r="H5" s="742" t="s">
        <v>799</v>
      </c>
      <c r="I5" s="745" t="s">
        <v>206</v>
      </c>
      <c r="J5" s="744" t="s">
        <v>207</v>
      </c>
      <c r="K5" s="743" t="s">
        <v>208</v>
      </c>
      <c r="L5" s="742" t="s">
        <v>798</v>
      </c>
      <c r="M5" s="742" t="s">
        <v>348</v>
      </c>
      <c r="N5" s="742" t="s">
        <v>269</v>
      </c>
      <c r="O5" s="742" t="s">
        <v>797</v>
      </c>
    </row>
    <row r="6" spans="1:15" s="735" customFormat="1" ht="14.25" thickTop="1" thickBot="1" x14ac:dyDescent="0.25">
      <c r="A6" s="741" t="s">
        <v>185</v>
      </c>
      <c r="B6" s="740" t="s">
        <v>186</v>
      </c>
      <c r="C6" s="736" t="s">
        <v>187</v>
      </c>
      <c r="D6" s="736" t="s">
        <v>188</v>
      </c>
      <c r="E6" s="736" t="s">
        <v>189</v>
      </c>
      <c r="F6" s="737" t="s">
        <v>190</v>
      </c>
      <c r="G6" s="736" t="s">
        <v>779</v>
      </c>
      <c r="H6" s="739" t="s">
        <v>796</v>
      </c>
      <c r="I6" s="738" t="s">
        <v>37</v>
      </c>
      <c r="J6" s="736" t="s">
        <v>38</v>
      </c>
      <c r="K6" s="737" t="s">
        <v>795</v>
      </c>
      <c r="L6" s="736" t="s">
        <v>794</v>
      </c>
      <c r="M6" s="736" t="s">
        <v>793</v>
      </c>
      <c r="N6" s="736" t="s">
        <v>792</v>
      </c>
      <c r="O6" s="736" t="s">
        <v>791</v>
      </c>
    </row>
    <row r="7" spans="1:15" ht="16.5" thickTop="1" x14ac:dyDescent="0.25">
      <c r="A7" s="679" t="s">
        <v>192</v>
      </c>
      <c r="B7" s="636" t="s">
        <v>775</v>
      </c>
      <c r="C7" s="681"/>
      <c r="D7" s="677"/>
      <c r="E7" s="677"/>
      <c r="F7" s="675"/>
      <c r="G7" s="677"/>
      <c r="H7" s="674"/>
      <c r="I7" s="676"/>
      <c r="J7" s="675"/>
      <c r="K7" s="675"/>
      <c r="L7" s="674"/>
      <c r="M7" s="673"/>
      <c r="N7" s="673"/>
      <c r="O7" s="673"/>
    </row>
    <row r="8" spans="1:15" x14ac:dyDescent="0.25">
      <c r="A8" s="679"/>
      <c r="B8" s="627" t="s">
        <v>653</v>
      </c>
      <c r="C8" s="681">
        <v>364442</v>
      </c>
      <c r="D8" s="677">
        <v>103330</v>
      </c>
      <c r="E8" s="677">
        <v>182563</v>
      </c>
      <c r="F8" s="675"/>
      <c r="G8" s="677"/>
      <c r="H8" s="674">
        <f>SUM(C8:G8)</f>
        <v>650335</v>
      </c>
      <c r="I8" s="676"/>
      <c r="J8" s="675"/>
      <c r="K8" s="675"/>
      <c r="L8" s="674">
        <f>SUM(I8:K8)</f>
        <v>0</v>
      </c>
      <c r="M8" s="673">
        <f>SUM(H8+L8)</f>
        <v>650335</v>
      </c>
      <c r="N8" s="673"/>
      <c r="O8" s="673">
        <f>SUM(M8+N8)</f>
        <v>650335</v>
      </c>
    </row>
    <row r="9" spans="1:15" s="685" customFormat="1" x14ac:dyDescent="0.25">
      <c r="A9" s="694"/>
      <c r="B9" s="680" t="s">
        <v>1151</v>
      </c>
      <c r="C9" s="712">
        <v>280331</v>
      </c>
      <c r="D9" s="692">
        <v>79434</v>
      </c>
      <c r="E9" s="692">
        <v>149821</v>
      </c>
      <c r="F9" s="688"/>
      <c r="G9" s="692"/>
      <c r="H9" s="687">
        <f>SUM(C9:G9)</f>
        <v>509586</v>
      </c>
      <c r="I9" s="734"/>
      <c r="J9" s="703"/>
      <c r="K9" s="703"/>
      <c r="L9" s="687">
        <f>SUM(I9:K9)</f>
        <v>0</v>
      </c>
      <c r="M9" s="686">
        <f>SUM(H9+L9)</f>
        <v>509586</v>
      </c>
      <c r="N9" s="686"/>
      <c r="O9" s="686">
        <f>SUM(M9+N9)</f>
        <v>509586</v>
      </c>
    </row>
    <row r="10" spans="1:15" s="685" customFormat="1" x14ac:dyDescent="0.25">
      <c r="A10" s="694"/>
      <c r="B10" s="680" t="s">
        <v>737</v>
      </c>
      <c r="C10" s="704">
        <v>84111</v>
      </c>
      <c r="D10" s="702">
        <v>23896</v>
      </c>
      <c r="E10" s="692">
        <v>32742</v>
      </c>
      <c r="F10" s="703"/>
      <c r="G10" s="702"/>
      <c r="H10" s="687">
        <f>SUM(C10:G10)</f>
        <v>140749</v>
      </c>
      <c r="I10" s="734"/>
      <c r="J10" s="703"/>
      <c r="K10" s="703"/>
      <c r="L10" s="687">
        <f>SUM(I10:K10)</f>
        <v>0</v>
      </c>
      <c r="M10" s="686">
        <f>SUM(H10+L10)</f>
        <v>140749</v>
      </c>
      <c r="N10" s="686"/>
      <c r="O10" s="686">
        <f>SUM(M10+N10)</f>
        <v>140749</v>
      </c>
    </row>
    <row r="11" spans="1:15" s="685" customFormat="1" x14ac:dyDescent="0.25">
      <c r="A11" s="694"/>
      <c r="B11" s="680" t="s">
        <v>178</v>
      </c>
      <c r="C11" s="712"/>
      <c r="D11" s="692"/>
      <c r="E11" s="692"/>
      <c r="F11" s="688"/>
      <c r="G11" s="692"/>
      <c r="H11" s="687"/>
      <c r="I11" s="734"/>
      <c r="J11" s="703"/>
      <c r="K11" s="703"/>
      <c r="L11" s="687"/>
      <c r="M11" s="686"/>
      <c r="N11" s="686"/>
      <c r="O11" s="686"/>
    </row>
    <row r="12" spans="1:15" s="725" customFormat="1" x14ac:dyDescent="0.25">
      <c r="A12" s="733"/>
      <c r="B12" s="637" t="s">
        <v>1110</v>
      </c>
      <c r="C12" s="732">
        <v>1454</v>
      </c>
      <c r="D12" s="730">
        <v>392</v>
      </c>
      <c r="E12" s="730"/>
      <c r="F12" s="731"/>
      <c r="G12" s="730"/>
      <c r="H12" s="727">
        <f t="shared" ref="H12:H14" si="0">SUM(C12:G12)</f>
        <v>1846</v>
      </c>
      <c r="I12" s="729"/>
      <c r="J12" s="728"/>
      <c r="K12" s="728"/>
      <c r="L12" s="727">
        <f t="shared" ref="L12:L14" si="1">SUM(I12:K12)</f>
        <v>0</v>
      </c>
      <c r="M12" s="726">
        <f t="shared" ref="M12:M14" si="2">SUM(H12+L12)</f>
        <v>1846</v>
      </c>
      <c r="N12" s="726"/>
      <c r="O12" s="726">
        <f t="shared" ref="O12:O14" si="3">SUM(M12+N12)</f>
        <v>1846</v>
      </c>
    </row>
    <row r="13" spans="1:15" s="685" customFormat="1" x14ac:dyDescent="0.25">
      <c r="A13" s="694"/>
      <c r="B13" s="680" t="s">
        <v>179</v>
      </c>
      <c r="C13" s="712"/>
      <c r="D13" s="692"/>
      <c r="E13" s="692"/>
      <c r="F13" s="688"/>
      <c r="G13" s="692"/>
      <c r="H13" s="727"/>
      <c r="I13" s="729"/>
      <c r="J13" s="728"/>
      <c r="K13" s="728"/>
      <c r="L13" s="727"/>
      <c r="M13" s="726"/>
      <c r="N13" s="726"/>
      <c r="O13" s="726"/>
    </row>
    <row r="14" spans="1:15" s="685" customFormat="1" ht="16.5" thickBot="1" x14ac:dyDescent="0.3">
      <c r="A14" s="694"/>
      <c r="B14" s="637" t="s">
        <v>1111</v>
      </c>
      <c r="C14" s="856">
        <v>1725</v>
      </c>
      <c r="D14" s="857">
        <v>596</v>
      </c>
      <c r="E14" s="730"/>
      <c r="F14" s="703"/>
      <c r="G14" s="702"/>
      <c r="H14" s="727">
        <f t="shared" si="0"/>
        <v>2321</v>
      </c>
      <c r="I14" s="729"/>
      <c r="J14" s="728"/>
      <c r="K14" s="728"/>
      <c r="L14" s="727">
        <f t="shared" si="1"/>
        <v>0</v>
      </c>
      <c r="M14" s="726">
        <f t="shared" si="2"/>
        <v>2321</v>
      </c>
      <c r="N14" s="726"/>
      <c r="O14" s="726">
        <f t="shared" si="3"/>
        <v>2321</v>
      </c>
    </row>
    <row r="15" spans="1:15" s="685" customFormat="1" ht="17.25" thickTop="1" thickBot="1" x14ac:dyDescent="0.3">
      <c r="A15" s="660"/>
      <c r="B15" s="659" t="s">
        <v>736</v>
      </c>
      <c r="C15" s="658">
        <f>+C8+C12+C14</f>
        <v>367621</v>
      </c>
      <c r="D15" s="658">
        <f t="shared" ref="D15:O15" si="4">+D8+D12+D14</f>
        <v>104318</v>
      </c>
      <c r="E15" s="658">
        <f t="shared" si="4"/>
        <v>182563</v>
      </c>
      <c r="F15" s="658">
        <f t="shared" si="4"/>
        <v>0</v>
      </c>
      <c r="G15" s="658">
        <f t="shared" si="4"/>
        <v>0</v>
      </c>
      <c r="H15" s="658">
        <f t="shared" si="4"/>
        <v>654502</v>
      </c>
      <c r="I15" s="658">
        <f t="shared" si="4"/>
        <v>0</v>
      </c>
      <c r="J15" s="658">
        <f t="shared" si="4"/>
        <v>0</v>
      </c>
      <c r="K15" s="658">
        <f t="shared" si="4"/>
        <v>0</v>
      </c>
      <c r="L15" s="658">
        <f t="shared" si="4"/>
        <v>0</v>
      </c>
      <c r="M15" s="658">
        <f t="shared" si="4"/>
        <v>654502</v>
      </c>
      <c r="N15" s="658">
        <f t="shared" si="4"/>
        <v>0</v>
      </c>
      <c r="O15" s="658">
        <f t="shared" si="4"/>
        <v>654502</v>
      </c>
    </row>
    <row r="16" spans="1:15" s="685" customFormat="1" ht="17.25" thickTop="1" thickBot="1" x14ac:dyDescent="0.3">
      <c r="A16" s="660"/>
      <c r="B16" s="659" t="s">
        <v>735</v>
      </c>
      <c r="C16" s="658">
        <f>+C9+C12</f>
        <v>281785</v>
      </c>
      <c r="D16" s="658">
        <f t="shared" ref="D16:O16" si="5">+D9+D12</f>
        <v>79826</v>
      </c>
      <c r="E16" s="658">
        <f t="shared" si="5"/>
        <v>149821</v>
      </c>
      <c r="F16" s="658">
        <f t="shared" si="5"/>
        <v>0</v>
      </c>
      <c r="G16" s="658">
        <f t="shared" si="5"/>
        <v>0</v>
      </c>
      <c r="H16" s="658">
        <f t="shared" si="5"/>
        <v>511432</v>
      </c>
      <c r="I16" s="658">
        <f t="shared" si="5"/>
        <v>0</v>
      </c>
      <c r="J16" s="658">
        <f t="shared" si="5"/>
        <v>0</v>
      </c>
      <c r="K16" s="658">
        <f t="shared" si="5"/>
        <v>0</v>
      </c>
      <c r="L16" s="658">
        <f t="shared" si="5"/>
        <v>0</v>
      </c>
      <c r="M16" s="658">
        <f t="shared" si="5"/>
        <v>511432</v>
      </c>
      <c r="N16" s="658">
        <f t="shared" si="5"/>
        <v>0</v>
      </c>
      <c r="O16" s="658">
        <f t="shared" si="5"/>
        <v>511432</v>
      </c>
    </row>
    <row r="17" spans="1:15" s="685" customFormat="1" ht="17.25" thickTop="1" thickBot="1" x14ac:dyDescent="0.3">
      <c r="A17" s="660"/>
      <c r="B17" s="659" t="s">
        <v>734</v>
      </c>
      <c r="C17" s="658">
        <f>+C10+C14</f>
        <v>85836</v>
      </c>
      <c r="D17" s="658">
        <f t="shared" ref="D17:O17" si="6">+D10+D14</f>
        <v>24492</v>
      </c>
      <c r="E17" s="658">
        <f t="shared" si="6"/>
        <v>32742</v>
      </c>
      <c r="F17" s="658">
        <f t="shared" si="6"/>
        <v>0</v>
      </c>
      <c r="G17" s="658">
        <f t="shared" si="6"/>
        <v>0</v>
      </c>
      <c r="H17" s="658">
        <f t="shared" si="6"/>
        <v>143070</v>
      </c>
      <c r="I17" s="658">
        <f t="shared" si="6"/>
        <v>0</v>
      </c>
      <c r="J17" s="658">
        <f t="shared" si="6"/>
        <v>0</v>
      </c>
      <c r="K17" s="658">
        <f t="shared" si="6"/>
        <v>0</v>
      </c>
      <c r="L17" s="658">
        <f t="shared" si="6"/>
        <v>0</v>
      </c>
      <c r="M17" s="658">
        <f t="shared" si="6"/>
        <v>143070</v>
      </c>
      <c r="N17" s="658">
        <f t="shared" si="6"/>
        <v>0</v>
      </c>
      <c r="O17" s="658">
        <f t="shared" si="6"/>
        <v>143070</v>
      </c>
    </row>
    <row r="18" spans="1:15" ht="32.25" thickTop="1" x14ac:dyDescent="0.25">
      <c r="A18" s="679" t="s">
        <v>193</v>
      </c>
      <c r="B18" s="636" t="s">
        <v>774</v>
      </c>
      <c r="C18" s="681"/>
      <c r="D18" s="677"/>
      <c r="E18" s="677"/>
      <c r="F18" s="675"/>
      <c r="G18" s="677"/>
      <c r="H18" s="674"/>
      <c r="I18" s="676"/>
      <c r="J18" s="675"/>
      <c r="K18" s="675"/>
      <c r="L18" s="674"/>
      <c r="M18" s="673"/>
      <c r="N18" s="673"/>
      <c r="O18" s="673"/>
    </row>
    <row r="19" spans="1:15" x14ac:dyDescent="0.25">
      <c r="A19" s="679"/>
      <c r="B19" s="627" t="s">
        <v>653</v>
      </c>
      <c r="C19" s="681">
        <v>64026</v>
      </c>
      <c r="D19" s="677">
        <v>16854</v>
      </c>
      <c r="E19" s="677">
        <v>22673</v>
      </c>
      <c r="F19" s="675"/>
      <c r="G19" s="677"/>
      <c r="H19" s="674">
        <f>SUM(C19:G19)</f>
        <v>103553</v>
      </c>
      <c r="I19" s="676"/>
      <c r="J19" s="675"/>
      <c r="K19" s="675"/>
      <c r="L19" s="674">
        <f>SUM(I19:K19)</f>
        <v>0</v>
      </c>
      <c r="M19" s="673">
        <f>SUM(H19+L19)</f>
        <v>103553</v>
      </c>
      <c r="N19" s="673"/>
      <c r="O19" s="673">
        <f>SUM(M19+N19)</f>
        <v>103553</v>
      </c>
    </row>
    <row r="20" spans="1:15" x14ac:dyDescent="0.25">
      <c r="A20" s="694"/>
      <c r="B20" s="680" t="s">
        <v>1151</v>
      </c>
      <c r="C20" s="712">
        <v>30396</v>
      </c>
      <c r="D20" s="692">
        <v>8029</v>
      </c>
      <c r="E20" s="692">
        <v>9047</v>
      </c>
      <c r="F20" s="688"/>
      <c r="G20" s="692"/>
      <c r="H20" s="687">
        <f>SUM(C20:G20)</f>
        <v>47472</v>
      </c>
      <c r="I20" s="689"/>
      <c r="J20" s="688"/>
      <c r="K20" s="688"/>
      <c r="L20" s="687">
        <f>SUM(I20:K20)</f>
        <v>0</v>
      </c>
      <c r="M20" s="686">
        <f>SUM(H20+L20)</f>
        <v>47472</v>
      </c>
      <c r="N20" s="686"/>
      <c r="O20" s="686">
        <f>SUM(M20+N20)</f>
        <v>47472</v>
      </c>
    </row>
    <row r="21" spans="1:15" x14ac:dyDescent="0.25">
      <c r="A21" s="694"/>
      <c r="B21" s="680" t="s">
        <v>737</v>
      </c>
      <c r="C21" s="712">
        <v>33630</v>
      </c>
      <c r="D21" s="692">
        <v>8825</v>
      </c>
      <c r="E21" s="692">
        <v>13626</v>
      </c>
      <c r="F21" s="688"/>
      <c r="G21" s="692"/>
      <c r="H21" s="687">
        <f>SUM(C21:G21)</f>
        <v>56081</v>
      </c>
      <c r="I21" s="689"/>
      <c r="J21" s="688"/>
      <c r="K21" s="688"/>
      <c r="L21" s="687">
        <f>SUM(I21:K21)</f>
        <v>0</v>
      </c>
      <c r="M21" s="686">
        <f>SUM(H21+L21)</f>
        <v>56081</v>
      </c>
      <c r="N21" s="686"/>
      <c r="O21" s="686">
        <f>SUM(M21+N21)</f>
        <v>56081</v>
      </c>
    </row>
    <row r="22" spans="1:15" x14ac:dyDescent="0.25">
      <c r="A22" s="694"/>
      <c r="B22" s="680" t="s">
        <v>178</v>
      </c>
      <c r="C22" s="712"/>
      <c r="D22" s="692"/>
      <c r="E22" s="692"/>
      <c r="F22" s="688"/>
      <c r="G22" s="692"/>
      <c r="H22" s="687"/>
      <c r="I22" s="689"/>
      <c r="J22" s="688"/>
      <c r="K22" s="688"/>
      <c r="L22" s="687"/>
      <c r="M22" s="686"/>
      <c r="N22" s="686"/>
      <c r="O22" s="686"/>
    </row>
    <row r="23" spans="1:15" s="685" customFormat="1" x14ac:dyDescent="0.25">
      <c r="A23" s="733"/>
      <c r="B23" s="637" t="s">
        <v>1110</v>
      </c>
      <c r="C23" s="732">
        <v>238</v>
      </c>
      <c r="D23" s="730">
        <v>64</v>
      </c>
      <c r="E23" s="730"/>
      <c r="F23" s="731"/>
      <c r="G23" s="730"/>
      <c r="H23" s="727">
        <f t="shared" ref="H23:H27" si="7">SUM(C23:G23)</f>
        <v>302</v>
      </c>
      <c r="I23" s="761"/>
      <c r="J23" s="731"/>
      <c r="K23" s="731"/>
      <c r="L23" s="727">
        <f t="shared" ref="L23:L27" si="8">SUM(I23:K23)</f>
        <v>0</v>
      </c>
      <c r="M23" s="726">
        <f t="shared" ref="M23:M27" si="9">SUM(H23+L23)</f>
        <v>302</v>
      </c>
      <c r="N23" s="726"/>
      <c r="O23" s="726">
        <f t="shared" ref="O23:O27" si="10">SUM(M23+N23)</f>
        <v>302</v>
      </c>
    </row>
    <row r="24" spans="1:15" s="685" customFormat="1" ht="31.5" x14ac:dyDescent="0.25">
      <c r="A24" s="694"/>
      <c r="B24" s="637" t="s">
        <v>1152</v>
      </c>
      <c r="C24" s="732">
        <v>387</v>
      </c>
      <c r="D24" s="730">
        <v>104</v>
      </c>
      <c r="E24" s="692"/>
      <c r="F24" s="688"/>
      <c r="G24" s="692"/>
      <c r="H24" s="727">
        <f t="shared" si="7"/>
        <v>491</v>
      </c>
      <c r="I24" s="761"/>
      <c r="J24" s="731"/>
      <c r="K24" s="731"/>
      <c r="L24" s="727">
        <f t="shared" si="8"/>
        <v>0</v>
      </c>
      <c r="M24" s="726">
        <f t="shared" si="9"/>
        <v>491</v>
      </c>
      <c r="N24" s="726"/>
      <c r="O24" s="726">
        <f t="shared" si="10"/>
        <v>491</v>
      </c>
    </row>
    <row r="25" spans="1:15" s="685" customFormat="1" x14ac:dyDescent="0.25">
      <c r="A25" s="694"/>
      <c r="B25" s="680" t="s">
        <v>179</v>
      </c>
      <c r="C25" s="712"/>
      <c r="D25" s="692"/>
      <c r="E25" s="692"/>
      <c r="F25" s="688"/>
      <c r="G25" s="692"/>
      <c r="H25" s="727"/>
      <c r="I25" s="761"/>
      <c r="J25" s="731"/>
      <c r="K25" s="731"/>
      <c r="L25" s="727"/>
      <c r="M25" s="726"/>
      <c r="N25" s="726"/>
      <c r="O25" s="726"/>
    </row>
    <row r="26" spans="1:15" s="725" customFormat="1" x14ac:dyDescent="0.25">
      <c r="A26" s="694"/>
      <c r="B26" s="637" t="s">
        <v>1153</v>
      </c>
      <c r="C26" s="732">
        <v>361</v>
      </c>
      <c r="D26" s="730">
        <v>124</v>
      </c>
      <c r="E26" s="730"/>
      <c r="F26" s="688"/>
      <c r="G26" s="692"/>
      <c r="H26" s="727">
        <f t="shared" si="7"/>
        <v>485</v>
      </c>
      <c r="I26" s="761"/>
      <c r="J26" s="731"/>
      <c r="K26" s="731"/>
      <c r="L26" s="727">
        <f t="shared" si="8"/>
        <v>0</v>
      </c>
      <c r="M26" s="726">
        <f t="shared" si="9"/>
        <v>485</v>
      </c>
      <c r="N26" s="726"/>
      <c r="O26" s="726">
        <f t="shared" si="10"/>
        <v>485</v>
      </c>
    </row>
    <row r="27" spans="1:15" s="685" customFormat="1" ht="32.25" thickBot="1" x14ac:dyDescent="0.3">
      <c r="A27" s="694"/>
      <c r="B27" s="637" t="s">
        <v>1154</v>
      </c>
      <c r="C27" s="732"/>
      <c r="D27" s="730"/>
      <c r="E27" s="730">
        <v>44</v>
      </c>
      <c r="F27" s="688"/>
      <c r="G27" s="692"/>
      <c r="H27" s="727">
        <f t="shared" si="7"/>
        <v>44</v>
      </c>
      <c r="I27" s="761"/>
      <c r="J27" s="731"/>
      <c r="K27" s="731"/>
      <c r="L27" s="727">
        <f t="shared" si="8"/>
        <v>0</v>
      </c>
      <c r="M27" s="726">
        <f t="shared" si="9"/>
        <v>44</v>
      </c>
      <c r="N27" s="726"/>
      <c r="O27" s="726">
        <f t="shared" si="10"/>
        <v>44</v>
      </c>
    </row>
    <row r="28" spans="1:15" s="685" customFormat="1" ht="17.25" thickTop="1" thickBot="1" x14ac:dyDescent="0.3">
      <c r="A28" s="660"/>
      <c r="B28" s="659" t="s">
        <v>736</v>
      </c>
      <c r="C28" s="658">
        <f>+C19+C23+C24+C26+C27</f>
        <v>65012</v>
      </c>
      <c r="D28" s="658">
        <f t="shared" ref="D28:O28" si="11">+D19+D23+D24+D26+D27</f>
        <v>17146</v>
      </c>
      <c r="E28" s="658">
        <f t="shared" si="11"/>
        <v>22717</v>
      </c>
      <c r="F28" s="658">
        <f t="shared" si="11"/>
        <v>0</v>
      </c>
      <c r="G28" s="658">
        <f t="shared" si="11"/>
        <v>0</v>
      </c>
      <c r="H28" s="658">
        <f t="shared" si="11"/>
        <v>104875</v>
      </c>
      <c r="I28" s="658">
        <f t="shared" si="11"/>
        <v>0</v>
      </c>
      <c r="J28" s="658">
        <f t="shared" si="11"/>
        <v>0</v>
      </c>
      <c r="K28" s="658">
        <f t="shared" si="11"/>
        <v>0</v>
      </c>
      <c r="L28" s="658">
        <f t="shared" si="11"/>
        <v>0</v>
      </c>
      <c r="M28" s="658">
        <f t="shared" si="11"/>
        <v>104875</v>
      </c>
      <c r="N28" s="658">
        <f t="shared" si="11"/>
        <v>0</v>
      </c>
      <c r="O28" s="658">
        <f t="shared" si="11"/>
        <v>104875</v>
      </c>
    </row>
    <row r="29" spans="1:15" s="685" customFormat="1" ht="17.25" thickTop="1" thickBot="1" x14ac:dyDescent="0.3">
      <c r="A29" s="660"/>
      <c r="B29" s="659" t="s">
        <v>735</v>
      </c>
      <c r="C29" s="658">
        <f>+C20+C23+C24</f>
        <v>31021</v>
      </c>
      <c r="D29" s="658">
        <f t="shared" ref="D29:O29" si="12">+D20+D23+D24</f>
        <v>8197</v>
      </c>
      <c r="E29" s="658">
        <f t="shared" si="12"/>
        <v>9047</v>
      </c>
      <c r="F29" s="658">
        <f t="shared" si="12"/>
        <v>0</v>
      </c>
      <c r="G29" s="658">
        <f t="shared" si="12"/>
        <v>0</v>
      </c>
      <c r="H29" s="658">
        <f t="shared" si="12"/>
        <v>48265</v>
      </c>
      <c r="I29" s="658">
        <f t="shared" si="12"/>
        <v>0</v>
      </c>
      <c r="J29" s="658">
        <f t="shared" si="12"/>
        <v>0</v>
      </c>
      <c r="K29" s="658">
        <f t="shared" si="12"/>
        <v>0</v>
      </c>
      <c r="L29" s="658">
        <f t="shared" si="12"/>
        <v>0</v>
      </c>
      <c r="M29" s="658">
        <f t="shared" si="12"/>
        <v>48265</v>
      </c>
      <c r="N29" s="658">
        <f t="shared" si="12"/>
        <v>0</v>
      </c>
      <c r="O29" s="658">
        <f t="shared" si="12"/>
        <v>48265</v>
      </c>
    </row>
    <row r="30" spans="1:15" s="685" customFormat="1" ht="17.25" thickTop="1" thickBot="1" x14ac:dyDescent="0.3">
      <c r="A30" s="660"/>
      <c r="B30" s="659" t="s">
        <v>734</v>
      </c>
      <c r="C30" s="658">
        <f t="shared" ref="C30:O30" si="13">+C21+C26+C27</f>
        <v>33991</v>
      </c>
      <c r="D30" s="658">
        <f t="shared" si="13"/>
        <v>8949</v>
      </c>
      <c r="E30" s="658">
        <f t="shared" si="13"/>
        <v>13670</v>
      </c>
      <c r="F30" s="658">
        <f t="shared" si="13"/>
        <v>0</v>
      </c>
      <c r="G30" s="658">
        <f t="shared" si="13"/>
        <v>0</v>
      </c>
      <c r="H30" s="658">
        <f t="shared" si="13"/>
        <v>56610</v>
      </c>
      <c r="I30" s="658">
        <f t="shared" si="13"/>
        <v>0</v>
      </c>
      <c r="J30" s="658">
        <f t="shared" si="13"/>
        <v>0</v>
      </c>
      <c r="K30" s="658">
        <f t="shared" si="13"/>
        <v>0</v>
      </c>
      <c r="L30" s="658">
        <f t="shared" si="13"/>
        <v>0</v>
      </c>
      <c r="M30" s="658">
        <f t="shared" si="13"/>
        <v>56610</v>
      </c>
      <c r="N30" s="658">
        <f t="shared" si="13"/>
        <v>0</v>
      </c>
      <c r="O30" s="658">
        <f t="shared" si="13"/>
        <v>56610</v>
      </c>
    </row>
    <row r="31" spans="1:15" s="685" customFormat="1" ht="17.25" thickTop="1" thickBot="1" x14ac:dyDescent="0.3">
      <c r="A31" s="660"/>
      <c r="B31" s="659" t="s">
        <v>773</v>
      </c>
      <c r="C31" s="658">
        <f t="shared" ref="C31:O31" si="14">SUM(C15+C28)</f>
        <v>432633</v>
      </c>
      <c r="D31" s="658">
        <f t="shared" si="14"/>
        <v>121464</v>
      </c>
      <c r="E31" s="658">
        <f t="shared" si="14"/>
        <v>205280</v>
      </c>
      <c r="F31" s="658">
        <f t="shared" si="14"/>
        <v>0</v>
      </c>
      <c r="G31" s="658">
        <f t="shared" si="14"/>
        <v>0</v>
      </c>
      <c r="H31" s="658">
        <f t="shared" si="14"/>
        <v>759377</v>
      </c>
      <c r="I31" s="658">
        <f t="shared" si="14"/>
        <v>0</v>
      </c>
      <c r="J31" s="658">
        <f t="shared" si="14"/>
        <v>0</v>
      </c>
      <c r="K31" s="658">
        <f t="shared" si="14"/>
        <v>0</v>
      </c>
      <c r="L31" s="658">
        <f t="shared" si="14"/>
        <v>0</v>
      </c>
      <c r="M31" s="658">
        <f t="shared" si="14"/>
        <v>759377</v>
      </c>
      <c r="N31" s="658">
        <f t="shared" si="14"/>
        <v>0</v>
      </c>
      <c r="O31" s="658">
        <f t="shared" si="14"/>
        <v>759377</v>
      </c>
    </row>
    <row r="32" spans="1:15" s="685" customFormat="1" ht="16.5" thickTop="1" x14ac:dyDescent="0.25">
      <c r="A32" s="679" t="s">
        <v>194</v>
      </c>
      <c r="B32" s="700" t="s">
        <v>772</v>
      </c>
      <c r="C32" s="678"/>
      <c r="D32" s="695"/>
      <c r="E32" s="677"/>
      <c r="F32" s="677"/>
      <c r="G32" s="695"/>
      <c r="H32" s="674"/>
      <c r="I32" s="698"/>
      <c r="J32" s="696"/>
      <c r="K32" s="696"/>
      <c r="L32" s="674"/>
      <c r="M32" s="697"/>
      <c r="N32" s="697"/>
      <c r="O32" s="697"/>
    </row>
    <row r="33" spans="1:15" x14ac:dyDescent="0.25">
      <c r="A33" s="679"/>
      <c r="B33" s="627" t="s">
        <v>653</v>
      </c>
      <c r="C33" s="678">
        <v>45377</v>
      </c>
      <c r="D33" s="695">
        <v>11987</v>
      </c>
      <c r="E33" s="677">
        <v>15992</v>
      </c>
      <c r="F33" s="695"/>
      <c r="G33" s="677"/>
      <c r="H33" s="674">
        <f>SUM(C33:G33)</f>
        <v>73356</v>
      </c>
      <c r="I33" s="676"/>
      <c r="J33" s="675"/>
      <c r="K33" s="675"/>
      <c r="L33" s="674">
        <f>SUM(I33:K33)</f>
        <v>0</v>
      </c>
      <c r="M33" s="673">
        <f>SUM(H33+L33)</f>
        <v>73356</v>
      </c>
      <c r="N33" s="673"/>
      <c r="O33" s="697">
        <f>SUM(M33+N33)</f>
        <v>73356</v>
      </c>
    </row>
    <row r="34" spans="1:15" x14ac:dyDescent="0.25">
      <c r="A34" s="694"/>
      <c r="B34" s="680" t="s">
        <v>1151</v>
      </c>
      <c r="C34" s="712">
        <v>44860</v>
      </c>
      <c r="D34" s="692">
        <v>11807</v>
      </c>
      <c r="E34" s="692">
        <v>15862</v>
      </c>
      <c r="F34" s="688"/>
      <c r="G34" s="692"/>
      <c r="H34" s="674">
        <f>SUM(C34:G34)</f>
        <v>72529</v>
      </c>
      <c r="I34" s="676"/>
      <c r="J34" s="675"/>
      <c r="K34" s="675"/>
      <c r="L34" s="674">
        <f>SUM(I34:K34)</f>
        <v>0</v>
      </c>
      <c r="M34" s="673">
        <f>SUM(H34+L34)</f>
        <v>72529</v>
      </c>
      <c r="N34" s="673"/>
      <c r="O34" s="697">
        <f>SUM(M34+N34)</f>
        <v>72529</v>
      </c>
    </row>
    <row r="35" spans="1:15" x14ac:dyDescent="0.25">
      <c r="A35" s="679"/>
      <c r="B35" s="680" t="s">
        <v>737</v>
      </c>
      <c r="C35" s="681">
        <v>517</v>
      </c>
      <c r="D35" s="677">
        <v>180</v>
      </c>
      <c r="E35" s="677">
        <v>130</v>
      </c>
      <c r="F35" s="675"/>
      <c r="G35" s="677"/>
      <c r="H35" s="674">
        <f>SUM(C35:G35)</f>
        <v>827</v>
      </c>
      <c r="I35" s="676"/>
      <c r="J35" s="675"/>
      <c r="K35" s="675"/>
      <c r="L35" s="674">
        <f>SUM(I35:K35)</f>
        <v>0</v>
      </c>
      <c r="M35" s="673">
        <f>SUM(H35+L35)</f>
        <v>827</v>
      </c>
      <c r="N35" s="673"/>
      <c r="O35" s="697">
        <f>SUM(M35+N35)</f>
        <v>827</v>
      </c>
    </row>
    <row r="36" spans="1:15" x14ac:dyDescent="0.25">
      <c r="A36" s="694"/>
      <c r="B36" s="680" t="s">
        <v>178</v>
      </c>
      <c r="C36" s="712"/>
      <c r="D36" s="692"/>
      <c r="E36" s="692"/>
      <c r="F36" s="688"/>
      <c r="G36" s="692"/>
      <c r="H36" s="674"/>
      <c r="I36" s="676"/>
      <c r="J36" s="675"/>
      <c r="K36" s="675"/>
      <c r="L36" s="674"/>
      <c r="M36" s="673"/>
      <c r="N36" s="673"/>
      <c r="O36" s="697"/>
    </row>
    <row r="37" spans="1:15" x14ac:dyDescent="0.25">
      <c r="A37" s="679"/>
      <c r="B37" s="637" t="s">
        <v>1110</v>
      </c>
      <c r="C37" s="681">
        <v>114</v>
      </c>
      <c r="D37" s="677">
        <v>31</v>
      </c>
      <c r="E37" s="677"/>
      <c r="F37" s="675"/>
      <c r="G37" s="677"/>
      <c r="H37" s="674">
        <f t="shared" ref="H37:H41" si="15">SUM(C37:G37)</f>
        <v>145</v>
      </c>
      <c r="I37" s="676"/>
      <c r="J37" s="675"/>
      <c r="K37" s="675"/>
      <c r="L37" s="674">
        <f t="shared" ref="L37:L41" si="16">SUM(I37:K37)</f>
        <v>0</v>
      </c>
      <c r="M37" s="673">
        <f t="shared" ref="M37:M41" si="17">SUM(H37+L37)</f>
        <v>145</v>
      </c>
      <c r="N37" s="673"/>
      <c r="O37" s="697">
        <f t="shared" ref="O37:O41" si="18">SUM(M37+N37)</f>
        <v>145</v>
      </c>
    </row>
    <row r="38" spans="1:15" ht="31.5" x14ac:dyDescent="0.25">
      <c r="A38" s="694"/>
      <c r="B38" s="637" t="s">
        <v>1152</v>
      </c>
      <c r="C38" s="732">
        <v>145</v>
      </c>
      <c r="D38" s="730">
        <v>39</v>
      </c>
      <c r="E38" s="730"/>
      <c r="F38" s="688"/>
      <c r="G38" s="692"/>
      <c r="H38" s="674">
        <f t="shared" si="15"/>
        <v>184</v>
      </c>
      <c r="I38" s="676"/>
      <c r="J38" s="675"/>
      <c r="K38" s="675"/>
      <c r="L38" s="674">
        <f t="shared" si="16"/>
        <v>0</v>
      </c>
      <c r="M38" s="673">
        <f t="shared" si="17"/>
        <v>184</v>
      </c>
      <c r="N38" s="673"/>
      <c r="O38" s="697">
        <f t="shared" si="18"/>
        <v>184</v>
      </c>
    </row>
    <row r="39" spans="1:15" s="685" customFormat="1" ht="31.5" x14ac:dyDescent="0.25">
      <c r="A39" s="713"/>
      <c r="B39" s="638" t="s">
        <v>941</v>
      </c>
      <c r="C39" s="732">
        <v>218</v>
      </c>
      <c r="D39" s="730">
        <v>59</v>
      </c>
      <c r="E39" s="730"/>
      <c r="F39" s="688"/>
      <c r="G39" s="692"/>
      <c r="H39" s="674">
        <f t="shared" si="15"/>
        <v>277</v>
      </c>
      <c r="I39" s="676"/>
      <c r="J39" s="675"/>
      <c r="K39" s="675"/>
      <c r="L39" s="674">
        <f t="shared" si="16"/>
        <v>0</v>
      </c>
      <c r="M39" s="674">
        <f t="shared" si="17"/>
        <v>277</v>
      </c>
      <c r="N39" s="674"/>
      <c r="O39" s="674">
        <f t="shared" si="18"/>
        <v>277</v>
      </c>
    </row>
    <row r="40" spans="1:15" x14ac:dyDescent="0.25">
      <c r="A40" s="713"/>
      <c r="B40" s="683" t="s">
        <v>179</v>
      </c>
      <c r="C40" s="712"/>
      <c r="D40" s="692"/>
      <c r="E40" s="692"/>
      <c r="F40" s="688"/>
      <c r="G40" s="692"/>
      <c r="H40" s="674"/>
      <c r="I40" s="676"/>
      <c r="J40" s="675"/>
      <c r="K40" s="675"/>
      <c r="L40" s="674"/>
      <c r="M40" s="674"/>
      <c r="N40" s="674"/>
      <c r="O40" s="674"/>
    </row>
    <row r="41" spans="1:15" s="685" customFormat="1" ht="16.5" thickBot="1" x14ac:dyDescent="0.3">
      <c r="A41" s="679"/>
      <c r="B41" s="637" t="s">
        <v>1111</v>
      </c>
      <c r="C41" s="681">
        <v>338</v>
      </c>
      <c r="D41" s="677">
        <v>116</v>
      </c>
      <c r="E41" s="677"/>
      <c r="F41" s="675"/>
      <c r="G41" s="677"/>
      <c r="H41" s="674">
        <f t="shared" si="15"/>
        <v>454</v>
      </c>
      <c r="I41" s="676"/>
      <c r="J41" s="675"/>
      <c r="K41" s="675"/>
      <c r="L41" s="674">
        <f t="shared" si="16"/>
        <v>0</v>
      </c>
      <c r="M41" s="673">
        <f t="shared" si="17"/>
        <v>454</v>
      </c>
      <c r="N41" s="673"/>
      <c r="O41" s="697">
        <f t="shared" si="18"/>
        <v>454</v>
      </c>
    </row>
    <row r="42" spans="1:15" ht="17.25" thickTop="1" thickBot="1" x14ac:dyDescent="0.3">
      <c r="A42" s="660"/>
      <c r="B42" s="659" t="s">
        <v>736</v>
      </c>
      <c r="C42" s="658">
        <f>+C33+C37+C38+C39+C41</f>
        <v>46192</v>
      </c>
      <c r="D42" s="658">
        <f t="shared" ref="D42:O42" si="19">+D33+D37+D38+D39+D41</f>
        <v>12232</v>
      </c>
      <c r="E42" s="658">
        <f t="shared" si="19"/>
        <v>15992</v>
      </c>
      <c r="F42" s="658">
        <f t="shared" si="19"/>
        <v>0</v>
      </c>
      <c r="G42" s="658">
        <f t="shared" si="19"/>
        <v>0</v>
      </c>
      <c r="H42" s="658">
        <f t="shared" si="19"/>
        <v>74416</v>
      </c>
      <c r="I42" s="658">
        <f t="shared" si="19"/>
        <v>0</v>
      </c>
      <c r="J42" s="658">
        <f t="shared" si="19"/>
        <v>0</v>
      </c>
      <c r="K42" s="658">
        <f t="shared" si="19"/>
        <v>0</v>
      </c>
      <c r="L42" s="658">
        <f t="shared" si="19"/>
        <v>0</v>
      </c>
      <c r="M42" s="658">
        <f t="shared" si="19"/>
        <v>74416</v>
      </c>
      <c r="N42" s="658">
        <f t="shared" si="19"/>
        <v>0</v>
      </c>
      <c r="O42" s="658">
        <f t="shared" si="19"/>
        <v>74416</v>
      </c>
    </row>
    <row r="43" spans="1:15" s="685" customFormat="1" ht="17.25" thickTop="1" thickBot="1" x14ac:dyDescent="0.3">
      <c r="A43" s="660"/>
      <c r="B43" s="659" t="s">
        <v>735</v>
      </c>
      <c r="C43" s="658">
        <f>+C34+C37+C38+C39</f>
        <v>45337</v>
      </c>
      <c r="D43" s="658">
        <f t="shared" ref="D43:O43" si="20">+D34+D37+D38+D39</f>
        <v>11936</v>
      </c>
      <c r="E43" s="658">
        <f t="shared" si="20"/>
        <v>15862</v>
      </c>
      <c r="F43" s="658">
        <f t="shared" si="20"/>
        <v>0</v>
      </c>
      <c r="G43" s="658">
        <f t="shared" si="20"/>
        <v>0</v>
      </c>
      <c r="H43" s="658">
        <f t="shared" si="20"/>
        <v>73135</v>
      </c>
      <c r="I43" s="658">
        <f t="shared" si="20"/>
        <v>0</v>
      </c>
      <c r="J43" s="658">
        <f t="shared" si="20"/>
        <v>0</v>
      </c>
      <c r="K43" s="658">
        <f t="shared" si="20"/>
        <v>0</v>
      </c>
      <c r="L43" s="658">
        <f t="shared" si="20"/>
        <v>0</v>
      </c>
      <c r="M43" s="658">
        <f t="shared" si="20"/>
        <v>73135</v>
      </c>
      <c r="N43" s="658">
        <f t="shared" si="20"/>
        <v>0</v>
      </c>
      <c r="O43" s="658">
        <f t="shared" si="20"/>
        <v>73135</v>
      </c>
    </row>
    <row r="44" spans="1:15" s="685" customFormat="1" ht="17.25" thickTop="1" thickBot="1" x14ac:dyDescent="0.3">
      <c r="A44" s="660"/>
      <c r="B44" s="659" t="s">
        <v>734</v>
      </c>
      <c r="C44" s="658">
        <f>+C35+C41</f>
        <v>855</v>
      </c>
      <c r="D44" s="658">
        <f t="shared" ref="D44:O44" si="21">+D35+D41</f>
        <v>296</v>
      </c>
      <c r="E44" s="658">
        <f t="shared" si="21"/>
        <v>130</v>
      </c>
      <c r="F44" s="658">
        <f t="shared" si="21"/>
        <v>0</v>
      </c>
      <c r="G44" s="658">
        <f t="shared" si="21"/>
        <v>0</v>
      </c>
      <c r="H44" s="658">
        <f t="shared" si="21"/>
        <v>1281</v>
      </c>
      <c r="I44" s="658">
        <f t="shared" si="21"/>
        <v>0</v>
      </c>
      <c r="J44" s="658">
        <f t="shared" si="21"/>
        <v>0</v>
      </c>
      <c r="K44" s="658">
        <f t="shared" si="21"/>
        <v>0</v>
      </c>
      <c r="L44" s="658">
        <f t="shared" si="21"/>
        <v>0</v>
      </c>
      <c r="M44" s="658">
        <f t="shared" si="21"/>
        <v>1281</v>
      </c>
      <c r="N44" s="658">
        <f t="shared" si="21"/>
        <v>0</v>
      </c>
      <c r="O44" s="658">
        <f t="shared" si="21"/>
        <v>1281</v>
      </c>
    </row>
    <row r="45" spans="1:15" s="685" customFormat="1" ht="16.5" thickTop="1" x14ac:dyDescent="0.25">
      <c r="A45" s="679" t="s">
        <v>195</v>
      </c>
      <c r="B45" s="636" t="s">
        <v>771</v>
      </c>
      <c r="C45" s="681"/>
      <c r="D45" s="677"/>
      <c r="E45" s="677"/>
      <c r="F45" s="682"/>
      <c r="G45" s="677"/>
      <c r="H45" s="674"/>
      <c r="I45" s="676"/>
      <c r="J45" s="675"/>
      <c r="K45" s="675"/>
      <c r="L45" s="674"/>
      <c r="M45" s="674"/>
      <c r="N45" s="674"/>
      <c r="O45" s="674"/>
    </row>
    <row r="46" spans="1:15" s="685" customFormat="1" x14ac:dyDescent="0.25">
      <c r="A46" s="679"/>
      <c r="B46" s="627" t="s">
        <v>653</v>
      </c>
      <c r="C46" s="681">
        <v>50738</v>
      </c>
      <c r="D46" s="677">
        <v>13421</v>
      </c>
      <c r="E46" s="677">
        <v>15332</v>
      </c>
      <c r="F46" s="675"/>
      <c r="G46" s="677"/>
      <c r="H46" s="674">
        <f>SUM(C46:G46)</f>
        <v>79491</v>
      </c>
      <c r="I46" s="710"/>
      <c r="J46" s="682"/>
      <c r="K46" s="682"/>
      <c r="L46" s="674">
        <f>SUM(I46:K46)</f>
        <v>0</v>
      </c>
      <c r="M46" s="673">
        <f>SUM(H46+L46)</f>
        <v>79491</v>
      </c>
      <c r="N46" s="673"/>
      <c r="O46" s="673">
        <f>SUM(M46+N46)</f>
        <v>79491</v>
      </c>
    </row>
    <row r="47" spans="1:15" s="685" customFormat="1" x14ac:dyDescent="0.25">
      <c r="A47" s="733"/>
      <c r="B47" s="680" t="s">
        <v>1151</v>
      </c>
      <c r="C47" s="732">
        <v>50231</v>
      </c>
      <c r="D47" s="730">
        <v>13247</v>
      </c>
      <c r="E47" s="730">
        <v>15202</v>
      </c>
      <c r="F47" s="731"/>
      <c r="G47" s="730"/>
      <c r="H47" s="727">
        <f>SUM(C47:G47)</f>
        <v>78680</v>
      </c>
      <c r="I47" s="729"/>
      <c r="J47" s="728"/>
      <c r="K47" s="728"/>
      <c r="L47" s="727">
        <f>SUM(I47:K47)</f>
        <v>0</v>
      </c>
      <c r="M47" s="726">
        <f>SUM(H47+L47)</f>
        <v>78680</v>
      </c>
      <c r="N47" s="726"/>
      <c r="O47" s="726">
        <f>SUM(M47+N47)</f>
        <v>78680</v>
      </c>
    </row>
    <row r="48" spans="1:15" x14ac:dyDescent="0.25">
      <c r="A48" s="733"/>
      <c r="B48" s="680" t="s">
        <v>737</v>
      </c>
      <c r="C48" s="732">
        <v>507</v>
      </c>
      <c r="D48" s="730">
        <v>174</v>
      </c>
      <c r="E48" s="730">
        <v>130</v>
      </c>
      <c r="F48" s="731"/>
      <c r="G48" s="730"/>
      <c r="H48" s="727">
        <f>SUM(C48:G48)</f>
        <v>811</v>
      </c>
      <c r="I48" s="729"/>
      <c r="J48" s="728"/>
      <c r="K48" s="728"/>
      <c r="L48" s="727">
        <f>SUM(I48:K48)</f>
        <v>0</v>
      </c>
      <c r="M48" s="726">
        <f>SUM(H48+L48)</f>
        <v>811</v>
      </c>
      <c r="N48" s="726"/>
      <c r="O48" s="726">
        <f>SUM(M48+N48)</f>
        <v>811</v>
      </c>
    </row>
    <row r="49" spans="1:15" s="685" customFormat="1" x14ac:dyDescent="0.25">
      <c r="A49" s="733"/>
      <c r="B49" s="680" t="s">
        <v>178</v>
      </c>
      <c r="C49" s="732"/>
      <c r="D49" s="730"/>
      <c r="E49" s="730"/>
      <c r="F49" s="731"/>
      <c r="G49" s="730"/>
      <c r="H49" s="727"/>
      <c r="I49" s="729"/>
      <c r="J49" s="728"/>
      <c r="K49" s="728"/>
      <c r="L49" s="727"/>
      <c r="M49" s="726"/>
      <c r="N49" s="726"/>
      <c r="O49" s="726"/>
    </row>
    <row r="50" spans="1:15" s="685" customFormat="1" x14ac:dyDescent="0.25">
      <c r="A50" s="733"/>
      <c r="B50" s="637" t="s">
        <v>1110</v>
      </c>
      <c r="C50" s="732">
        <v>246</v>
      </c>
      <c r="D50" s="730">
        <v>66</v>
      </c>
      <c r="E50" s="730"/>
      <c r="F50" s="731"/>
      <c r="G50" s="730"/>
      <c r="H50" s="727">
        <f t="shared" ref="H50:H53" si="22">SUM(C50:G50)</f>
        <v>312</v>
      </c>
      <c r="I50" s="729"/>
      <c r="J50" s="728"/>
      <c r="K50" s="728"/>
      <c r="L50" s="727">
        <f t="shared" ref="L50:L53" si="23">SUM(I50:K50)</f>
        <v>0</v>
      </c>
      <c r="M50" s="726">
        <f t="shared" ref="M50:M53" si="24">SUM(H50+L50)</f>
        <v>312</v>
      </c>
      <c r="N50" s="726"/>
      <c r="O50" s="726">
        <f t="shared" ref="O50:O53" si="25">SUM(M50+N50)</f>
        <v>312</v>
      </c>
    </row>
    <row r="51" spans="1:15" ht="31.5" x14ac:dyDescent="0.25">
      <c r="A51" s="679"/>
      <c r="B51" s="627" t="s">
        <v>1152</v>
      </c>
      <c r="C51" s="681">
        <v>261</v>
      </c>
      <c r="D51" s="677">
        <v>70</v>
      </c>
      <c r="E51" s="677"/>
      <c r="F51" s="675"/>
      <c r="G51" s="677"/>
      <c r="H51" s="674">
        <f t="shared" si="22"/>
        <v>331</v>
      </c>
      <c r="I51" s="710"/>
      <c r="J51" s="682"/>
      <c r="K51" s="682"/>
      <c r="L51" s="674">
        <f t="shared" si="23"/>
        <v>0</v>
      </c>
      <c r="M51" s="673">
        <f t="shared" si="24"/>
        <v>331</v>
      </c>
      <c r="N51" s="673"/>
      <c r="O51" s="673">
        <f t="shared" si="25"/>
        <v>331</v>
      </c>
    </row>
    <row r="52" spans="1:15" x14ac:dyDescent="0.25">
      <c r="A52" s="733"/>
      <c r="B52" s="680" t="s">
        <v>179</v>
      </c>
      <c r="C52" s="732"/>
      <c r="D52" s="730"/>
      <c r="E52" s="730"/>
      <c r="F52" s="731"/>
      <c r="G52" s="730"/>
      <c r="H52" s="727"/>
      <c r="I52" s="729"/>
      <c r="J52" s="728"/>
      <c r="K52" s="728"/>
      <c r="L52" s="727"/>
      <c r="M52" s="726"/>
      <c r="N52" s="726"/>
      <c r="O52" s="726"/>
    </row>
    <row r="53" spans="1:15" ht="16.5" thickBot="1" x14ac:dyDescent="0.3">
      <c r="A53" s="733"/>
      <c r="B53" s="637" t="s">
        <v>1111</v>
      </c>
      <c r="C53" s="732">
        <v>338</v>
      </c>
      <c r="D53" s="730">
        <v>116</v>
      </c>
      <c r="E53" s="730"/>
      <c r="F53" s="731"/>
      <c r="G53" s="730"/>
      <c r="H53" s="727">
        <f t="shared" si="22"/>
        <v>454</v>
      </c>
      <c r="I53" s="729"/>
      <c r="J53" s="728"/>
      <c r="K53" s="728"/>
      <c r="L53" s="727">
        <f t="shared" si="23"/>
        <v>0</v>
      </c>
      <c r="M53" s="726">
        <f t="shared" si="24"/>
        <v>454</v>
      </c>
      <c r="N53" s="726"/>
      <c r="O53" s="726">
        <f t="shared" si="25"/>
        <v>454</v>
      </c>
    </row>
    <row r="54" spans="1:15" ht="17.25" thickTop="1" thickBot="1" x14ac:dyDescent="0.3">
      <c r="A54" s="660"/>
      <c r="B54" s="659" t="s">
        <v>736</v>
      </c>
      <c r="C54" s="658">
        <f>+C46+C50+C51+C53</f>
        <v>51583</v>
      </c>
      <c r="D54" s="658">
        <f t="shared" ref="D54:O54" si="26">+D46+D50+D51+D53</f>
        <v>13673</v>
      </c>
      <c r="E54" s="658">
        <f t="shared" si="26"/>
        <v>15332</v>
      </c>
      <c r="F54" s="658">
        <f t="shared" si="26"/>
        <v>0</v>
      </c>
      <c r="G54" s="658">
        <f t="shared" si="26"/>
        <v>0</v>
      </c>
      <c r="H54" s="658">
        <f t="shared" si="26"/>
        <v>80588</v>
      </c>
      <c r="I54" s="658">
        <f t="shared" si="26"/>
        <v>0</v>
      </c>
      <c r="J54" s="658">
        <f t="shared" si="26"/>
        <v>0</v>
      </c>
      <c r="K54" s="658">
        <f t="shared" si="26"/>
        <v>0</v>
      </c>
      <c r="L54" s="658">
        <f t="shared" si="26"/>
        <v>0</v>
      </c>
      <c r="M54" s="658">
        <f t="shared" si="26"/>
        <v>80588</v>
      </c>
      <c r="N54" s="658">
        <f t="shared" si="26"/>
        <v>0</v>
      </c>
      <c r="O54" s="658">
        <f t="shared" si="26"/>
        <v>80588</v>
      </c>
    </row>
    <row r="55" spans="1:15" ht="17.25" thickTop="1" thickBot="1" x14ac:dyDescent="0.3">
      <c r="A55" s="660"/>
      <c r="B55" s="659" t="s">
        <v>735</v>
      </c>
      <c r="C55" s="658">
        <f>+C47+C50+C51</f>
        <v>50738</v>
      </c>
      <c r="D55" s="658">
        <f t="shared" ref="D55:O55" si="27">+D47+D50+D51</f>
        <v>13383</v>
      </c>
      <c r="E55" s="658">
        <f t="shared" si="27"/>
        <v>15202</v>
      </c>
      <c r="F55" s="658">
        <f t="shared" si="27"/>
        <v>0</v>
      </c>
      <c r="G55" s="658">
        <f t="shared" si="27"/>
        <v>0</v>
      </c>
      <c r="H55" s="658">
        <f t="shared" si="27"/>
        <v>79323</v>
      </c>
      <c r="I55" s="658">
        <f t="shared" si="27"/>
        <v>0</v>
      </c>
      <c r="J55" s="658">
        <f t="shared" si="27"/>
        <v>0</v>
      </c>
      <c r="K55" s="658">
        <f t="shared" si="27"/>
        <v>0</v>
      </c>
      <c r="L55" s="658">
        <f t="shared" si="27"/>
        <v>0</v>
      </c>
      <c r="M55" s="658">
        <f t="shared" si="27"/>
        <v>79323</v>
      </c>
      <c r="N55" s="658">
        <f t="shared" si="27"/>
        <v>0</v>
      </c>
      <c r="O55" s="658">
        <f t="shared" si="27"/>
        <v>79323</v>
      </c>
    </row>
    <row r="56" spans="1:15" s="725" customFormat="1" ht="17.25" thickTop="1" thickBot="1" x14ac:dyDescent="0.3">
      <c r="A56" s="660"/>
      <c r="B56" s="659" t="s">
        <v>734</v>
      </c>
      <c r="C56" s="658">
        <f>+C48+C53</f>
        <v>845</v>
      </c>
      <c r="D56" s="658">
        <f t="shared" ref="D56:O56" si="28">+D48+D53</f>
        <v>290</v>
      </c>
      <c r="E56" s="658">
        <f t="shared" si="28"/>
        <v>130</v>
      </c>
      <c r="F56" s="658">
        <f t="shared" si="28"/>
        <v>0</v>
      </c>
      <c r="G56" s="658">
        <f t="shared" si="28"/>
        <v>0</v>
      </c>
      <c r="H56" s="658">
        <f t="shared" si="28"/>
        <v>1265</v>
      </c>
      <c r="I56" s="658">
        <f t="shared" si="28"/>
        <v>0</v>
      </c>
      <c r="J56" s="658">
        <f t="shared" si="28"/>
        <v>0</v>
      </c>
      <c r="K56" s="658">
        <f t="shared" si="28"/>
        <v>0</v>
      </c>
      <c r="L56" s="658">
        <f t="shared" si="28"/>
        <v>0</v>
      </c>
      <c r="M56" s="658">
        <f t="shared" si="28"/>
        <v>1265</v>
      </c>
      <c r="N56" s="658">
        <f t="shared" si="28"/>
        <v>0</v>
      </c>
      <c r="O56" s="658">
        <f t="shared" si="28"/>
        <v>1265</v>
      </c>
    </row>
    <row r="57" spans="1:15" s="725" customFormat="1" ht="16.5" thickTop="1" x14ac:dyDescent="0.25">
      <c r="A57" s="679" t="s">
        <v>196</v>
      </c>
      <c r="B57" s="636" t="s">
        <v>770</v>
      </c>
      <c r="C57" s="681"/>
      <c r="D57" s="677"/>
      <c r="E57" s="677"/>
      <c r="F57" s="682"/>
      <c r="G57" s="677"/>
      <c r="H57" s="674"/>
      <c r="I57" s="676"/>
      <c r="J57" s="675"/>
      <c r="K57" s="675"/>
      <c r="L57" s="674"/>
      <c r="M57" s="674"/>
      <c r="N57" s="674"/>
      <c r="O57" s="674"/>
    </row>
    <row r="58" spans="1:15" s="725" customFormat="1" x14ac:dyDescent="0.25">
      <c r="A58" s="679"/>
      <c r="B58" s="627" t="s">
        <v>653</v>
      </c>
      <c r="C58" s="681">
        <v>47231</v>
      </c>
      <c r="D58" s="677">
        <v>12536</v>
      </c>
      <c r="E58" s="677">
        <v>11842</v>
      </c>
      <c r="F58" s="675"/>
      <c r="G58" s="677"/>
      <c r="H58" s="674">
        <f>SUM(C58:G58)</f>
        <v>71609</v>
      </c>
      <c r="I58" s="676"/>
      <c r="J58" s="675"/>
      <c r="K58" s="675"/>
      <c r="L58" s="674">
        <f>SUM(I58:K58)</f>
        <v>0</v>
      </c>
      <c r="M58" s="673">
        <f>SUM(H58+L58)</f>
        <v>71609</v>
      </c>
      <c r="N58" s="673"/>
      <c r="O58" s="673">
        <f>SUM(M58+N58)</f>
        <v>71609</v>
      </c>
    </row>
    <row r="59" spans="1:15" s="725" customFormat="1" x14ac:dyDescent="0.25">
      <c r="A59" s="694"/>
      <c r="B59" s="680" t="s">
        <v>1151</v>
      </c>
      <c r="C59" s="712">
        <v>46714</v>
      </c>
      <c r="D59" s="692">
        <v>12356</v>
      </c>
      <c r="E59" s="692">
        <v>11712</v>
      </c>
      <c r="F59" s="688"/>
      <c r="G59" s="692"/>
      <c r="H59" s="687">
        <f>SUM(C59:G59)</f>
        <v>70782</v>
      </c>
      <c r="I59" s="689"/>
      <c r="J59" s="688"/>
      <c r="K59" s="688"/>
      <c r="L59" s="687">
        <f>SUM(I59:K59)</f>
        <v>0</v>
      </c>
      <c r="M59" s="686">
        <f>SUM(H59+L59)</f>
        <v>70782</v>
      </c>
      <c r="N59" s="686"/>
      <c r="O59" s="686">
        <f>SUM(M59+N59)</f>
        <v>70782</v>
      </c>
    </row>
    <row r="60" spans="1:15" x14ac:dyDescent="0.25">
      <c r="A60" s="694"/>
      <c r="B60" s="680" t="s">
        <v>737</v>
      </c>
      <c r="C60" s="712">
        <v>517</v>
      </c>
      <c r="D60" s="692">
        <v>180</v>
      </c>
      <c r="E60" s="692">
        <v>130</v>
      </c>
      <c r="F60" s="688"/>
      <c r="G60" s="692"/>
      <c r="H60" s="687">
        <f>SUM(C60:G60)</f>
        <v>827</v>
      </c>
      <c r="I60" s="689"/>
      <c r="J60" s="688"/>
      <c r="K60" s="688"/>
      <c r="L60" s="687">
        <f>SUM(I60:K60)</f>
        <v>0</v>
      </c>
      <c r="M60" s="686">
        <f>SUM(H60+L60)</f>
        <v>827</v>
      </c>
      <c r="N60" s="686"/>
      <c r="O60" s="686">
        <f>SUM(M60+N60)</f>
        <v>827</v>
      </c>
    </row>
    <row r="61" spans="1:15" s="725" customFormat="1" x14ac:dyDescent="0.25">
      <c r="A61" s="694"/>
      <c r="B61" s="680" t="s">
        <v>178</v>
      </c>
      <c r="C61" s="712"/>
      <c r="D61" s="692"/>
      <c r="E61" s="692"/>
      <c r="F61" s="688"/>
      <c r="G61" s="692"/>
      <c r="H61" s="687"/>
      <c r="I61" s="689"/>
      <c r="J61" s="688"/>
      <c r="K61" s="688"/>
      <c r="L61" s="687"/>
      <c r="M61" s="686"/>
      <c r="N61" s="686"/>
      <c r="O61" s="686"/>
    </row>
    <row r="62" spans="1:15" x14ac:dyDescent="0.25">
      <c r="A62" s="694"/>
      <c r="B62" s="637" t="s">
        <v>1110</v>
      </c>
      <c r="C62" s="732">
        <v>155</v>
      </c>
      <c r="D62" s="730">
        <v>42</v>
      </c>
      <c r="E62" s="692"/>
      <c r="F62" s="688"/>
      <c r="G62" s="692"/>
      <c r="H62" s="727">
        <f t="shared" ref="H62:H65" si="29">SUM(C62:G62)</f>
        <v>197</v>
      </c>
      <c r="I62" s="761"/>
      <c r="J62" s="731"/>
      <c r="K62" s="731"/>
      <c r="L62" s="727">
        <f t="shared" ref="L62:L65" si="30">SUM(I62:K62)</f>
        <v>0</v>
      </c>
      <c r="M62" s="726">
        <f t="shared" ref="M62:M65" si="31">SUM(H62+L62)</f>
        <v>197</v>
      </c>
      <c r="N62" s="726"/>
      <c r="O62" s="726">
        <f t="shared" ref="O62:O65" si="32">SUM(M62+N62)</f>
        <v>197</v>
      </c>
    </row>
    <row r="63" spans="1:15" ht="31.5" x14ac:dyDescent="0.25">
      <c r="A63" s="694"/>
      <c r="B63" s="637" t="s">
        <v>1152</v>
      </c>
      <c r="C63" s="732">
        <v>203</v>
      </c>
      <c r="D63" s="730">
        <v>55</v>
      </c>
      <c r="E63" s="730"/>
      <c r="F63" s="688"/>
      <c r="G63" s="692"/>
      <c r="H63" s="727">
        <f t="shared" si="29"/>
        <v>258</v>
      </c>
      <c r="I63" s="761"/>
      <c r="J63" s="731"/>
      <c r="K63" s="731"/>
      <c r="L63" s="727">
        <f t="shared" si="30"/>
        <v>0</v>
      </c>
      <c r="M63" s="726">
        <f t="shared" si="31"/>
        <v>258</v>
      </c>
      <c r="N63" s="726"/>
      <c r="O63" s="726">
        <f t="shared" si="32"/>
        <v>258</v>
      </c>
    </row>
    <row r="64" spans="1:15" x14ac:dyDescent="0.25">
      <c r="A64" s="694"/>
      <c r="B64" s="680" t="s">
        <v>179</v>
      </c>
      <c r="C64" s="712"/>
      <c r="D64" s="692"/>
      <c r="E64" s="692"/>
      <c r="F64" s="688"/>
      <c r="G64" s="692"/>
      <c r="H64" s="727"/>
      <c r="I64" s="761"/>
      <c r="J64" s="731"/>
      <c r="K64" s="731"/>
      <c r="L64" s="727"/>
      <c r="M64" s="726"/>
      <c r="N64" s="726"/>
      <c r="O64" s="726"/>
    </row>
    <row r="65" spans="1:15" s="725" customFormat="1" ht="16.5" thickBot="1" x14ac:dyDescent="0.3">
      <c r="A65" s="694"/>
      <c r="B65" s="637" t="s">
        <v>1111</v>
      </c>
      <c r="C65" s="732">
        <v>345</v>
      </c>
      <c r="D65" s="730">
        <v>120</v>
      </c>
      <c r="E65" s="730"/>
      <c r="F65" s="688"/>
      <c r="G65" s="692"/>
      <c r="H65" s="727">
        <f t="shared" si="29"/>
        <v>465</v>
      </c>
      <c r="I65" s="761"/>
      <c r="J65" s="731"/>
      <c r="K65" s="731"/>
      <c r="L65" s="727">
        <f t="shared" si="30"/>
        <v>0</v>
      </c>
      <c r="M65" s="726">
        <f t="shared" si="31"/>
        <v>465</v>
      </c>
      <c r="N65" s="726"/>
      <c r="O65" s="726">
        <f t="shared" si="32"/>
        <v>465</v>
      </c>
    </row>
    <row r="66" spans="1:15" s="725" customFormat="1" ht="17.25" thickTop="1" thickBot="1" x14ac:dyDescent="0.3">
      <c r="A66" s="660"/>
      <c r="B66" s="659" t="s">
        <v>736</v>
      </c>
      <c r="C66" s="658">
        <f>+C58+C62+C63+C65</f>
        <v>47934</v>
      </c>
      <c r="D66" s="658">
        <f t="shared" ref="D66:O66" si="33">+D58+D62+D63+D65</f>
        <v>12753</v>
      </c>
      <c r="E66" s="658">
        <f t="shared" si="33"/>
        <v>11842</v>
      </c>
      <c r="F66" s="658">
        <f t="shared" si="33"/>
        <v>0</v>
      </c>
      <c r="G66" s="658">
        <f t="shared" si="33"/>
        <v>0</v>
      </c>
      <c r="H66" s="658">
        <f t="shared" si="33"/>
        <v>72529</v>
      </c>
      <c r="I66" s="658">
        <f t="shared" si="33"/>
        <v>0</v>
      </c>
      <c r="J66" s="658">
        <f t="shared" si="33"/>
        <v>0</v>
      </c>
      <c r="K66" s="658">
        <f t="shared" si="33"/>
        <v>0</v>
      </c>
      <c r="L66" s="658">
        <f t="shared" si="33"/>
        <v>0</v>
      </c>
      <c r="M66" s="658">
        <f t="shared" si="33"/>
        <v>72529</v>
      </c>
      <c r="N66" s="658">
        <f t="shared" si="33"/>
        <v>0</v>
      </c>
      <c r="O66" s="658">
        <f t="shared" si="33"/>
        <v>72529</v>
      </c>
    </row>
    <row r="67" spans="1:15" s="725" customFormat="1" ht="17.25" thickTop="1" thickBot="1" x14ac:dyDescent="0.3">
      <c r="A67" s="660"/>
      <c r="B67" s="659" t="s">
        <v>735</v>
      </c>
      <c r="C67" s="658">
        <f>+C59+C62+C63</f>
        <v>47072</v>
      </c>
      <c r="D67" s="658">
        <f t="shared" ref="D67:O67" si="34">+D59+D62+D63</f>
        <v>12453</v>
      </c>
      <c r="E67" s="658">
        <f t="shared" si="34"/>
        <v>11712</v>
      </c>
      <c r="F67" s="658">
        <f t="shared" si="34"/>
        <v>0</v>
      </c>
      <c r="G67" s="658">
        <f t="shared" si="34"/>
        <v>0</v>
      </c>
      <c r="H67" s="658">
        <f t="shared" si="34"/>
        <v>71237</v>
      </c>
      <c r="I67" s="658">
        <f t="shared" si="34"/>
        <v>0</v>
      </c>
      <c r="J67" s="658">
        <f t="shared" si="34"/>
        <v>0</v>
      </c>
      <c r="K67" s="658">
        <f t="shared" si="34"/>
        <v>0</v>
      </c>
      <c r="L67" s="658">
        <f t="shared" si="34"/>
        <v>0</v>
      </c>
      <c r="M67" s="658">
        <f t="shared" si="34"/>
        <v>71237</v>
      </c>
      <c r="N67" s="658">
        <f t="shared" si="34"/>
        <v>0</v>
      </c>
      <c r="O67" s="658">
        <f t="shared" si="34"/>
        <v>71237</v>
      </c>
    </row>
    <row r="68" spans="1:15" s="725" customFormat="1" ht="17.25" thickTop="1" thickBot="1" x14ac:dyDescent="0.3">
      <c r="A68" s="660"/>
      <c r="B68" s="659" t="s">
        <v>734</v>
      </c>
      <c r="C68" s="658">
        <f>+C60+C65</f>
        <v>862</v>
      </c>
      <c r="D68" s="658">
        <f t="shared" ref="D68:O68" si="35">+D60+D65</f>
        <v>300</v>
      </c>
      <c r="E68" s="658">
        <f t="shared" si="35"/>
        <v>130</v>
      </c>
      <c r="F68" s="658">
        <f t="shared" si="35"/>
        <v>0</v>
      </c>
      <c r="G68" s="658">
        <f t="shared" si="35"/>
        <v>0</v>
      </c>
      <c r="H68" s="658">
        <f t="shared" si="35"/>
        <v>1292</v>
      </c>
      <c r="I68" s="658">
        <f t="shared" si="35"/>
        <v>0</v>
      </c>
      <c r="J68" s="658">
        <f t="shared" si="35"/>
        <v>0</v>
      </c>
      <c r="K68" s="658">
        <f t="shared" si="35"/>
        <v>0</v>
      </c>
      <c r="L68" s="658">
        <f t="shared" si="35"/>
        <v>0</v>
      </c>
      <c r="M68" s="658">
        <f t="shared" si="35"/>
        <v>1292</v>
      </c>
      <c r="N68" s="658">
        <f t="shared" si="35"/>
        <v>0</v>
      </c>
      <c r="O68" s="658">
        <f t="shared" si="35"/>
        <v>1292</v>
      </c>
    </row>
    <row r="69" spans="1:15" ht="16.5" thickTop="1" x14ac:dyDescent="0.25">
      <c r="A69" s="672" t="s">
        <v>197</v>
      </c>
      <c r="B69" s="724" t="s">
        <v>769</v>
      </c>
      <c r="C69" s="671"/>
      <c r="D69" s="670"/>
      <c r="E69" s="670"/>
      <c r="F69" s="668"/>
      <c r="G69" s="670"/>
      <c r="H69" s="667"/>
      <c r="I69" s="669"/>
      <c r="J69" s="668"/>
      <c r="K69" s="668"/>
      <c r="L69" s="667"/>
      <c r="M69" s="667"/>
      <c r="N69" s="667"/>
      <c r="O69" s="667"/>
    </row>
    <row r="70" spans="1:15" x14ac:dyDescent="0.25">
      <c r="A70" s="679"/>
      <c r="B70" s="627" t="s">
        <v>653</v>
      </c>
      <c r="C70" s="681">
        <v>26886</v>
      </c>
      <c r="D70" s="677">
        <v>7128</v>
      </c>
      <c r="E70" s="677">
        <v>6752</v>
      </c>
      <c r="F70" s="675"/>
      <c r="G70" s="677"/>
      <c r="H70" s="674">
        <f>SUM(C70:G70)</f>
        <v>40766</v>
      </c>
      <c r="I70" s="676"/>
      <c r="J70" s="675"/>
      <c r="K70" s="675"/>
      <c r="L70" s="674">
        <f>SUM(I70:K70)</f>
        <v>0</v>
      </c>
      <c r="M70" s="673">
        <f>SUM(H70+L70)</f>
        <v>40766</v>
      </c>
      <c r="N70" s="673"/>
      <c r="O70" s="673">
        <f>SUM(M70+N70)</f>
        <v>40766</v>
      </c>
    </row>
    <row r="71" spans="1:15" x14ac:dyDescent="0.25">
      <c r="A71" s="694"/>
      <c r="B71" s="680" t="s">
        <v>1151</v>
      </c>
      <c r="C71" s="712">
        <v>26604</v>
      </c>
      <c r="D71" s="692">
        <v>7032</v>
      </c>
      <c r="E71" s="692">
        <v>6622</v>
      </c>
      <c r="F71" s="688"/>
      <c r="G71" s="692"/>
      <c r="H71" s="687">
        <f>SUM(C71:G71)</f>
        <v>40258</v>
      </c>
      <c r="I71" s="689"/>
      <c r="J71" s="688"/>
      <c r="K71" s="688"/>
      <c r="L71" s="687">
        <f>SUM(I71:K71)</f>
        <v>0</v>
      </c>
      <c r="M71" s="686">
        <f>SUM(H71+L71)</f>
        <v>40258</v>
      </c>
      <c r="N71" s="686"/>
      <c r="O71" s="686">
        <f>SUM(M71+N71)</f>
        <v>40258</v>
      </c>
    </row>
    <row r="72" spans="1:15" x14ac:dyDescent="0.25">
      <c r="A72" s="694"/>
      <c r="B72" s="680" t="s">
        <v>737</v>
      </c>
      <c r="C72" s="712">
        <v>282</v>
      </c>
      <c r="D72" s="692">
        <v>96</v>
      </c>
      <c r="E72" s="692">
        <v>130</v>
      </c>
      <c r="F72" s="688"/>
      <c r="G72" s="692"/>
      <c r="H72" s="687">
        <f>SUM(C72:G72)</f>
        <v>508</v>
      </c>
      <c r="I72" s="689"/>
      <c r="J72" s="688"/>
      <c r="K72" s="688"/>
      <c r="L72" s="687">
        <f>SUM(I72:K72)</f>
        <v>0</v>
      </c>
      <c r="M72" s="686">
        <f>SUM(H72+L72)</f>
        <v>508</v>
      </c>
      <c r="N72" s="686"/>
      <c r="O72" s="686">
        <f>SUM(M72+N72)</f>
        <v>508</v>
      </c>
    </row>
    <row r="73" spans="1:15" x14ac:dyDescent="0.25">
      <c r="A73" s="694"/>
      <c r="B73" s="680" t="s">
        <v>178</v>
      </c>
      <c r="C73" s="712"/>
      <c r="D73" s="692"/>
      <c r="E73" s="692"/>
      <c r="F73" s="688"/>
      <c r="G73" s="692"/>
      <c r="H73" s="687"/>
      <c r="I73" s="689"/>
      <c r="J73" s="688"/>
      <c r="K73" s="688"/>
      <c r="L73" s="687"/>
      <c r="M73" s="686"/>
      <c r="N73" s="686"/>
      <c r="O73" s="686"/>
    </row>
    <row r="74" spans="1:15" s="685" customFormat="1" x14ac:dyDescent="0.25">
      <c r="A74" s="713"/>
      <c r="B74" s="638" t="s">
        <v>1110</v>
      </c>
      <c r="C74" s="732">
        <v>61</v>
      </c>
      <c r="D74" s="730">
        <v>16</v>
      </c>
      <c r="E74" s="692"/>
      <c r="F74" s="688"/>
      <c r="G74" s="692"/>
      <c r="H74" s="727">
        <f t="shared" ref="H74:H77" si="36">SUM(C74:G74)</f>
        <v>77</v>
      </c>
      <c r="I74" s="761"/>
      <c r="J74" s="731"/>
      <c r="K74" s="731"/>
      <c r="L74" s="727">
        <f t="shared" ref="L74:L77" si="37">SUM(I74:K74)</f>
        <v>0</v>
      </c>
      <c r="M74" s="727">
        <f t="shared" ref="M74:M77" si="38">SUM(H74+L74)</f>
        <v>77</v>
      </c>
      <c r="N74" s="727"/>
      <c r="O74" s="727">
        <f t="shared" ref="O74:O77" si="39">SUM(M74+N74)</f>
        <v>77</v>
      </c>
    </row>
    <row r="75" spans="1:15" s="685" customFormat="1" ht="31.5" x14ac:dyDescent="0.25">
      <c r="A75" s="713"/>
      <c r="B75" s="638" t="s">
        <v>1152</v>
      </c>
      <c r="C75" s="732">
        <v>132</v>
      </c>
      <c r="D75" s="730">
        <v>36</v>
      </c>
      <c r="E75" s="730"/>
      <c r="F75" s="688"/>
      <c r="G75" s="692"/>
      <c r="H75" s="727">
        <f t="shared" si="36"/>
        <v>168</v>
      </c>
      <c r="I75" s="761"/>
      <c r="J75" s="731"/>
      <c r="K75" s="731"/>
      <c r="L75" s="727">
        <f t="shared" si="37"/>
        <v>0</v>
      </c>
      <c r="M75" s="727">
        <f t="shared" si="38"/>
        <v>168</v>
      </c>
      <c r="N75" s="727"/>
      <c r="O75" s="727">
        <f t="shared" si="39"/>
        <v>168</v>
      </c>
    </row>
    <row r="76" spans="1:15" s="685" customFormat="1" x14ac:dyDescent="0.25">
      <c r="A76" s="694"/>
      <c r="B76" s="680" t="s">
        <v>179</v>
      </c>
      <c r="C76" s="712"/>
      <c r="D76" s="692"/>
      <c r="E76" s="692"/>
      <c r="F76" s="688"/>
      <c r="G76" s="692"/>
      <c r="H76" s="727"/>
      <c r="I76" s="761"/>
      <c r="J76" s="731"/>
      <c r="K76" s="731"/>
      <c r="L76" s="727"/>
      <c r="M76" s="726"/>
      <c r="N76" s="726"/>
      <c r="O76" s="726"/>
    </row>
    <row r="77" spans="1:15" s="685" customFormat="1" ht="16.5" thickBot="1" x14ac:dyDescent="0.3">
      <c r="A77" s="694"/>
      <c r="B77" s="637" t="s">
        <v>1111</v>
      </c>
      <c r="C77" s="732">
        <v>188</v>
      </c>
      <c r="D77" s="730">
        <v>64</v>
      </c>
      <c r="E77" s="730"/>
      <c r="F77" s="688"/>
      <c r="G77" s="692"/>
      <c r="H77" s="727">
        <f t="shared" si="36"/>
        <v>252</v>
      </c>
      <c r="I77" s="761"/>
      <c r="J77" s="731"/>
      <c r="K77" s="731"/>
      <c r="L77" s="727">
        <f t="shared" si="37"/>
        <v>0</v>
      </c>
      <c r="M77" s="726">
        <f t="shared" si="38"/>
        <v>252</v>
      </c>
      <c r="N77" s="726"/>
      <c r="O77" s="726">
        <f t="shared" si="39"/>
        <v>252</v>
      </c>
    </row>
    <row r="78" spans="1:15" s="685" customFormat="1" ht="17.25" thickTop="1" thickBot="1" x14ac:dyDescent="0.3">
      <c r="A78" s="660"/>
      <c r="B78" s="659" t="s">
        <v>736</v>
      </c>
      <c r="C78" s="658">
        <f>+C70+C74+C75+C77</f>
        <v>27267</v>
      </c>
      <c r="D78" s="658">
        <f t="shared" ref="D78:O78" si="40">+D70+D74+D75+D77</f>
        <v>7244</v>
      </c>
      <c r="E78" s="658">
        <f t="shared" si="40"/>
        <v>6752</v>
      </c>
      <c r="F78" s="658">
        <f t="shared" si="40"/>
        <v>0</v>
      </c>
      <c r="G78" s="658">
        <f t="shared" si="40"/>
        <v>0</v>
      </c>
      <c r="H78" s="658">
        <f t="shared" si="40"/>
        <v>41263</v>
      </c>
      <c r="I78" s="658">
        <f t="shared" si="40"/>
        <v>0</v>
      </c>
      <c r="J78" s="658">
        <f t="shared" si="40"/>
        <v>0</v>
      </c>
      <c r="K78" s="658">
        <f t="shared" si="40"/>
        <v>0</v>
      </c>
      <c r="L78" s="658">
        <f t="shared" si="40"/>
        <v>0</v>
      </c>
      <c r="M78" s="658">
        <f t="shared" si="40"/>
        <v>41263</v>
      </c>
      <c r="N78" s="658">
        <f t="shared" si="40"/>
        <v>0</v>
      </c>
      <c r="O78" s="658">
        <f t="shared" si="40"/>
        <v>41263</v>
      </c>
    </row>
    <row r="79" spans="1:15" s="685" customFormat="1" ht="17.25" thickTop="1" thickBot="1" x14ac:dyDescent="0.3">
      <c r="A79" s="660"/>
      <c r="B79" s="659" t="s">
        <v>735</v>
      </c>
      <c r="C79" s="658">
        <f>+C71+C74+C75</f>
        <v>26797</v>
      </c>
      <c r="D79" s="658">
        <f t="shared" ref="D79:O79" si="41">+D71+D74+D75</f>
        <v>7084</v>
      </c>
      <c r="E79" s="658">
        <f t="shared" si="41"/>
        <v>6622</v>
      </c>
      <c r="F79" s="658">
        <f t="shared" si="41"/>
        <v>0</v>
      </c>
      <c r="G79" s="658">
        <f t="shared" si="41"/>
        <v>0</v>
      </c>
      <c r="H79" s="658">
        <f t="shared" si="41"/>
        <v>40503</v>
      </c>
      <c r="I79" s="658">
        <f t="shared" si="41"/>
        <v>0</v>
      </c>
      <c r="J79" s="658">
        <f t="shared" si="41"/>
        <v>0</v>
      </c>
      <c r="K79" s="658">
        <f t="shared" si="41"/>
        <v>0</v>
      </c>
      <c r="L79" s="658">
        <f t="shared" si="41"/>
        <v>0</v>
      </c>
      <c r="M79" s="658">
        <f t="shared" si="41"/>
        <v>40503</v>
      </c>
      <c r="N79" s="658">
        <f t="shared" si="41"/>
        <v>0</v>
      </c>
      <c r="O79" s="658">
        <f t="shared" si="41"/>
        <v>40503</v>
      </c>
    </row>
    <row r="80" spans="1:15" s="685" customFormat="1" ht="17.25" thickTop="1" thickBot="1" x14ac:dyDescent="0.3">
      <c r="A80" s="660"/>
      <c r="B80" s="659" t="s">
        <v>734</v>
      </c>
      <c r="C80" s="658">
        <f>+C72+C77</f>
        <v>470</v>
      </c>
      <c r="D80" s="658">
        <f t="shared" ref="D80:O80" si="42">+D72+D77</f>
        <v>160</v>
      </c>
      <c r="E80" s="658">
        <f t="shared" si="42"/>
        <v>130</v>
      </c>
      <c r="F80" s="658">
        <f t="shared" si="42"/>
        <v>0</v>
      </c>
      <c r="G80" s="658">
        <f t="shared" si="42"/>
        <v>0</v>
      </c>
      <c r="H80" s="658">
        <f t="shared" si="42"/>
        <v>760</v>
      </c>
      <c r="I80" s="658">
        <f t="shared" si="42"/>
        <v>0</v>
      </c>
      <c r="J80" s="658">
        <f t="shared" si="42"/>
        <v>0</v>
      </c>
      <c r="K80" s="658">
        <f t="shared" si="42"/>
        <v>0</v>
      </c>
      <c r="L80" s="658">
        <f t="shared" si="42"/>
        <v>0</v>
      </c>
      <c r="M80" s="658">
        <f t="shared" si="42"/>
        <v>760</v>
      </c>
      <c r="N80" s="658">
        <f t="shared" si="42"/>
        <v>0</v>
      </c>
      <c r="O80" s="658">
        <f t="shared" si="42"/>
        <v>760</v>
      </c>
    </row>
    <row r="81" spans="1:15" s="685" customFormat="1" ht="16.5" thickTop="1" x14ac:dyDescent="0.25">
      <c r="A81" s="679"/>
      <c r="B81" s="636" t="s">
        <v>768</v>
      </c>
      <c r="C81" s="681"/>
      <c r="D81" s="677"/>
      <c r="E81" s="677"/>
      <c r="F81" s="682"/>
      <c r="G81" s="677"/>
      <c r="H81" s="674"/>
      <c r="I81" s="676"/>
      <c r="J81" s="675"/>
      <c r="K81" s="675"/>
      <c r="L81" s="674"/>
      <c r="M81" s="674"/>
      <c r="N81" s="674"/>
      <c r="O81" s="674"/>
    </row>
    <row r="82" spans="1:15" s="685" customFormat="1" x14ac:dyDescent="0.25">
      <c r="A82" s="679" t="s">
        <v>198</v>
      </c>
      <c r="B82" s="627" t="s">
        <v>653</v>
      </c>
      <c r="C82" s="681">
        <v>58546</v>
      </c>
      <c r="D82" s="677">
        <v>16799</v>
      </c>
      <c r="E82" s="677">
        <v>19445</v>
      </c>
      <c r="F82" s="675"/>
      <c r="G82" s="677"/>
      <c r="H82" s="674">
        <f>SUM(C82:G82)</f>
        <v>94790</v>
      </c>
      <c r="I82" s="676"/>
      <c r="J82" s="675"/>
      <c r="K82" s="675"/>
      <c r="L82" s="674">
        <f>SUM(I82:K82)</f>
        <v>0</v>
      </c>
      <c r="M82" s="673">
        <f>SUM(H82+L82)</f>
        <v>94790</v>
      </c>
      <c r="N82" s="673"/>
      <c r="O82" s="673">
        <f>SUM(M82+N82)</f>
        <v>94790</v>
      </c>
    </row>
    <row r="83" spans="1:15" s="685" customFormat="1" x14ac:dyDescent="0.25">
      <c r="A83" s="694"/>
      <c r="B83" s="680" t="s">
        <v>1151</v>
      </c>
      <c r="C83" s="712">
        <v>57934</v>
      </c>
      <c r="D83" s="692">
        <v>16588</v>
      </c>
      <c r="E83" s="692">
        <v>19315</v>
      </c>
      <c r="F83" s="688"/>
      <c r="G83" s="692"/>
      <c r="H83" s="687">
        <f>SUM(C83:G83)</f>
        <v>93837</v>
      </c>
      <c r="I83" s="689"/>
      <c r="J83" s="688"/>
      <c r="K83" s="688"/>
      <c r="L83" s="687">
        <f>SUM(I83:K83)</f>
        <v>0</v>
      </c>
      <c r="M83" s="686">
        <f>SUM(H83+L83)</f>
        <v>93837</v>
      </c>
      <c r="N83" s="686"/>
      <c r="O83" s="686">
        <f>SUM(M83+N83)</f>
        <v>93837</v>
      </c>
    </row>
    <row r="84" spans="1:15" s="685" customFormat="1" x14ac:dyDescent="0.25">
      <c r="A84" s="694"/>
      <c r="B84" s="680" t="s">
        <v>737</v>
      </c>
      <c r="C84" s="712">
        <v>612</v>
      </c>
      <c r="D84" s="692">
        <v>211</v>
      </c>
      <c r="E84" s="692">
        <v>130</v>
      </c>
      <c r="F84" s="688"/>
      <c r="G84" s="692"/>
      <c r="H84" s="687">
        <f>SUM(C84:G84)</f>
        <v>953</v>
      </c>
      <c r="I84" s="689"/>
      <c r="J84" s="688"/>
      <c r="K84" s="688"/>
      <c r="L84" s="687">
        <f>SUM(I84:K84)</f>
        <v>0</v>
      </c>
      <c r="M84" s="686">
        <f>SUM(H84+L84)</f>
        <v>953</v>
      </c>
      <c r="N84" s="686"/>
      <c r="O84" s="686">
        <f>SUM(M84+N84)</f>
        <v>953</v>
      </c>
    </row>
    <row r="85" spans="1:15" s="685" customFormat="1" x14ac:dyDescent="0.25">
      <c r="A85" s="694"/>
      <c r="B85" s="680" t="s">
        <v>178</v>
      </c>
      <c r="C85" s="712"/>
      <c r="D85" s="692"/>
      <c r="E85" s="692"/>
      <c r="F85" s="688"/>
      <c r="G85" s="692"/>
      <c r="H85" s="687"/>
      <c r="I85" s="689"/>
      <c r="J85" s="688"/>
      <c r="K85" s="688"/>
      <c r="L85" s="687"/>
      <c r="M85" s="686"/>
      <c r="N85" s="686"/>
      <c r="O85" s="686"/>
    </row>
    <row r="86" spans="1:15" s="685" customFormat="1" x14ac:dyDescent="0.25">
      <c r="A86" s="694"/>
      <c r="B86" s="637" t="s">
        <v>1110</v>
      </c>
      <c r="C86" s="732">
        <v>373</v>
      </c>
      <c r="D86" s="730">
        <v>101</v>
      </c>
      <c r="E86" s="692"/>
      <c r="F86" s="688"/>
      <c r="G86" s="692"/>
      <c r="H86" s="727">
        <f t="shared" ref="H86:H89" si="43">SUM(C86:G86)</f>
        <v>474</v>
      </c>
      <c r="I86" s="761"/>
      <c r="J86" s="731"/>
      <c r="K86" s="731"/>
      <c r="L86" s="727">
        <f t="shared" ref="L86:L89" si="44">SUM(I86:K86)</f>
        <v>0</v>
      </c>
      <c r="M86" s="726">
        <f t="shared" ref="M86:M89" si="45">SUM(H86+L86)</f>
        <v>474</v>
      </c>
      <c r="N86" s="726"/>
      <c r="O86" s="726">
        <f t="shared" ref="O86:O89" si="46">SUM(M86+N86)</f>
        <v>474</v>
      </c>
    </row>
    <row r="87" spans="1:15" ht="31.5" x14ac:dyDescent="0.25">
      <c r="A87" s="694"/>
      <c r="B87" s="637" t="s">
        <v>1152</v>
      </c>
      <c r="C87" s="732">
        <v>315</v>
      </c>
      <c r="D87" s="730">
        <v>85</v>
      </c>
      <c r="E87" s="730"/>
      <c r="F87" s="688"/>
      <c r="G87" s="692"/>
      <c r="H87" s="727">
        <f t="shared" si="43"/>
        <v>400</v>
      </c>
      <c r="I87" s="761"/>
      <c r="J87" s="731"/>
      <c r="K87" s="731"/>
      <c r="L87" s="727">
        <f t="shared" si="44"/>
        <v>0</v>
      </c>
      <c r="M87" s="726">
        <f t="shared" si="45"/>
        <v>400</v>
      </c>
      <c r="N87" s="726"/>
      <c r="O87" s="726">
        <f t="shared" si="46"/>
        <v>400</v>
      </c>
    </row>
    <row r="88" spans="1:15" x14ac:dyDescent="0.25">
      <c r="A88" s="694"/>
      <c r="B88" s="680" t="s">
        <v>179</v>
      </c>
      <c r="C88" s="712"/>
      <c r="D88" s="692"/>
      <c r="E88" s="692"/>
      <c r="F88" s="688"/>
      <c r="G88" s="692"/>
      <c r="H88" s="727"/>
      <c r="I88" s="761"/>
      <c r="J88" s="731"/>
      <c r="K88" s="731"/>
      <c r="L88" s="727"/>
      <c r="M88" s="726"/>
      <c r="N88" s="726"/>
      <c r="O88" s="726"/>
    </row>
    <row r="89" spans="1:15" ht="16.5" thickBot="1" x14ac:dyDescent="0.3">
      <c r="A89" s="694"/>
      <c r="B89" s="637" t="s">
        <v>1111</v>
      </c>
      <c r="C89" s="732">
        <v>413</v>
      </c>
      <c r="D89" s="730">
        <v>142</v>
      </c>
      <c r="E89" s="730"/>
      <c r="F89" s="688"/>
      <c r="G89" s="692"/>
      <c r="H89" s="727">
        <f t="shared" si="43"/>
        <v>555</v>
      </c>
      <c r="I89" s="761"/>
      <c r="J89" s="731"/>
      <c r="K89" s="731"/>
      <c r="L89" s="727">
        <f t="shared" si="44"/>
        <v>0</v>
      </c>
      <c r="M89" s="726">
        <f t="shared" si="45"/>
        <v>555</v>
      </c>
      <c r="N89" s="726"/>
      <c r="O89" s="726">
        <f t="shared" si="46"/>
        <v>555</v>
      </c>
    </row>
    <row r="90" spans="1:15" ht="17.25" thickTop="1" thickBot="1" x14ac:dyDescent="0.3">
      <c r="A90" s="660"/>
      <c r="B90" s="659" t="s">
        <v>736</v>
      </c>
      <c r="C90" s="658">
        <f>+C82+C86+C87+C89</f>
        <v>59647</v>
      </c>
      <c r="D90" s="658">
        <f t="shared" ref="D90:O90" si="47">+D82+D86+D87+D89</f>
        <v>17127</v>
      </c>
      <c r="E90" s="658">
        <f t="shared" si="47"/>
        <v>19445</v>
      </c>
      <c r="F90" s="658">
        <f t="shared" si="47"/>
        <v>0</v>
      </c>
      <c r="G90" s="658">
        <f t="shared" si="47"/>
        <v>0</v>
      </c>
      <c r="H90" s="658">
        <f t="shared" si="47"/>
        <v>96219</v>
      </c>
      <c r="I90" s="658">
        <f t="shared" si="47"/>
        <v>0</v>
      </c>
      <c r="J90" s="658">
        <f t="shared" si="47"/>
        <v>0</v>
      </c>
      <c r="K90" s="658">
        <f t="shared" si="47"/>
        <v>0</v>
      </c>
      <c r="L90" s="658">
        <f t="shared" si="47"/>
        <v>0</v>
      </c>
      <c r="M90" s="658">
        <f t="shared" si="47"/>
        <v>96219</v>
      </c>
      <c r="N90" s="658">
        <f t="shared" si="47"/>
        <v>0</v>
      </c>
      <c r="O90" s="658">
        <f t="shared" si="47"/>
        <v>96219</v>
      </c>
    </row>
    <row r="91" spans="1:15" ht="17.25" thickTop="1" thickBot="1" x14ac:dyDescent="0.3">
      <c r="A91" s="660"/>
      <c r="B91" s="659" t="s">
        <v>735</v>
      </c>
      <c r="C91" s="658">
        <f>+C83+C86+C87</f>
        <v>58622</v>
      </c>
      <c r="D91" s="658">
        <f t="shared" ref="D91:O91" si="48">+D83+D86+D87</f>
        <v>16774</v>
      </c>
      <c r="E91" s="658">
        <f t="shared" si="48"/>
        <v>19315</v>
      </c>
      <c r="F91" s="658">
        <f t="shared" si="48"/>
        <v>0</v>
      </c>
      <c r="G91" s="658">
        <f t="shared" si="48"/>
        <v>0</v>
      </c>
      <c r="H91" s="658">
        <f t="shared" si="48"/>
        <v>94711</v>
      </c>
      <c r="I91" s="658">
        <f t="shared" si="48"/>
        <v>0</v>
      </c>
      <c r="J91" s="658">
        <f t="shared" si="48"/>
        <v>0</v>
      </c>
      <c r="K91" s="658">
        <f t="shared" si="48"/>
        <v>0</v>
      </c>
      <c r="L91" s="658">
        <f t="shared" si="48"/>
        <v>0</v>
      </c>
      <c r="M91" s="658">
        <f t="shared" si="48"/>
        <v>94711</v>
      </c>
      <c r="N91" s="658">
        <f t="shared" si="48"/>
        <v>0</v>
      </c>
      <c r="O91" s="658">
        <f t="shared" si="48"/>
        <v>94711</v>
      </c>
    </row>
    <row r="92" spans="1:15" s="685" customFormat="1" ht="17.25" thickTop="1" thickBot="1" x14ac:dyDescent="0.3">
      <c r="A92" s="660"/>
      <c r="B92" s="659" t="s">
        <v>734</v>
      </c>
      <c r="C92" s="658">
        <f>+C84+C89</f>
        <v>1025</v>
      </c>
      <c r="D92" s="658">
        <f t="shared" ref="D92:O92" si="49">+D84+D89</f>
        <v>353</v>
      </c>
      <c r="E92" s="658">
        <f t="shared" si="49"/>
        <v>130</v>
      </c>
      <c r="F92" s="658">
        <f t="shared" si="49"/>
        <v>0</v>
      </c>
      <c r="G92" s="658">
        <f t="shared" si="49"/>
        <v>0</v>
      </c>
      <c r="H92" s="658">
        <f t="shared" si="49"/>
        <v>1508</v>
      </c>
      <c r="I92" s="658">
        <f t="shared" si="49"/>
        <v>0</v>
      </c>
      <c r="J92" s="658">
        <f t="shared" si="49"/>
        <v>0</v>
      </c>
      <c r="K92" s="658">
        <f t="shared" si="49"/>
        <v>0</v>
      </c>
      <c r="L92" s="658">
        <f t="shared" si="49"/>
        <v>0</v>
      </c>
      <c r="M92" s="658">
        <f t="shared" si="49"/>
        <v>1508</v>
      </c>
      <c r="N92" s="658">
        <f t="shared" si="49"/>
        <v>0</v>
      </c>
      <c r="O92" s="658">
        <f t="shared" si="49"/>
        <v>1508</v>
      </c>
    </row>
    <row r="93" spans="1:15" s="685" customFormat="1" ht="16.5" thickTop="1" x14ac:dyDescent="0.25">
      <c r="A93" s="679" t="s">
        <v>199</v>
      </c>
      <c r="B93" s="636" t="s">
        <v>767</v>
      </c>
      <c r="C93" s="681"/>
      <c r="D93" s="677"/>
      <c r="E93" s="677"/>
      <c r="F93" s="682"/>
      <c r="G93" s="677"/>
      <c r="H93" s="674"/>
      <c r="I93" s="676"/>
      <c r="J93" s="675"/>
      <c r="K93" s="675"/>
      <c r="L93" s="674"/>
      <c r="M93" s="674"/>
      <c r="N93" s="674"/>
      <c r="O93" s="674"/>
    </row>
    <row r="94" spans="1:15" s="685" customFormat="1" x14ac:dyDescent="0.25">
      <c r="A94" s="679"/>
      <c r="B94" s="627" t="s">
        <v>653</v>
      </c>
      <c r="C94" s="681">
        <v>52176</v>
      </c>
      <c r="D94" s="677">
        <v>15089</v>
      </c>
      <c r="E94" s="677">
        <v>17264</v>
      </c>
      <c r="F94" s="675"/>
      <c r="G94" s="677"/>
      <c r="H94" s="674">
        <f>SUM(C94:G94)</f>
        <v>84529</v>
      </c>
      <c r="I94" s="676"/>
      <c r="J94" s="675"/>
      <c r="K94" s="675"/>
      <c r="L94" s="674">
        <f>SUM(I94:K94)</f>
        <v>0</v>
      </c>
      <c r="M94" s="673">
        <f>SUM(H94+L94)</f>
        <v>84529</v>
      </c>
      <c r="N94" s="673"/>
      <c r="O94" s="673">
        <f>SUM(M94+N94)</f>
        <v>84529</v>
      </c>
    </row>
    <row r="95" spans="1:15" s="685" customFormat="1" x14ac:dyDescent="0.25">
      <c r="A95" s="694"/>
      <c r="B95" s="680" t="s">
        <v>1151</v>
      </c>
      <c r="C95" s="712">
        <v>51585</v>
      </c>
      <c r="D95" s="692">
        <v>14885</v>
      </c>
      <c r="E95" s="692">
        <v>17134</v>
      </c>
      <c r="F95" s="688"/>
      <c r="G95" s="692"/>
      <c r="H95" s="687">
        <f>SUM(C95:G95)</f>
        <v>83604</v>
      </c>
      <c r="I95" s="689"/>
      <c r="J95" s="688"/>
      <c r="K95" s="688"/>
      <c r="L95" s="687">
        <f>SUM(I95:K95)</f>
        <v>0</v>
      </c>
      <c r="M95" s="686">
        <f>SUM(H95+L95)</f>
        <v>83604</v>
      </c>
      <c r="N95" s="686"/>
      <c r="O95" s="686">
        <f>SUM(M95+N95)</f>
        <v>83604</v>
      </c>
    </row>
    <row r="96" spans="1:15" s="685" customFormat="1" x14ac:dyDescent="0.25">
      <c r="A96" s="694"/>
      <c r="B96" s="680" t="s">
        <v>737</v>
      </c>
      <c r="C96" s="712">
        <v>591</v>
      </c>
      <c r="D96" s="692">
        <v>204</v>
      </c>
      <c r="E96" s="692">
        <v>130</v>
      </c>
      <c r="F96" s="688"/>
      <c r="G96" s="692"/>
      <c r="H96" s="687">
        <f>SUM(C96:G96)</f>
        <v>925</v>
      </c>
      <c r="I96" s="689"/>
      <c r="J96" s="688"/>
      <c r="K96" s="688"/>
      <c r="L96" s="687">
        <f>SUM(I96:K96)</f>
        <v>0</v>
      </c>
      <c r="M96" s="686">
        <f>SUM(H96+L96)</f>
        <v>925</v>
      </c>
      <c r="N96" s="686"/>
      <c r="O96" s="686">
        <f>SUM(M96+N96)</f>
        <v>925</v>
      </c>
    </row>
    <row r="97" spans="1:15" s="685" customFormat="1" x14ac:dyDescent="0.25">
      <c r="A97" s="694"/>
      <c r="B97" s="680" t="s">
        <v>178</v>
      </c>
      <c r="C97" s="712"/>
      <c r="D97" s="692"/>
      <c r="E97" s="692"/>
      <c r="F97" s="688"/>
      <c r="G97" s="692"/>
      <c r="H97" s="687"/>
      <c r="I97" s="689"/>
      <c r="J97" s="688"/>
      <c r="K97" s="688"/>
      <c r="L97" s="687"/>
      <c r="M97" s="686"/>
      <c r="N97" s="686"/>
      <c r="O97" s="686"/>
    </row>
    <row r="98" spans="1:15" s="685" customFormat="1" x14ac:dyDescent="0.25">
      <c r="A98" s="694"/>
      <c r="B98" s="637" t="s">
        <v>1110</v>
      </c>
      <c r="C98" s="732">
        <v>188</v>
      </c>
      <c r="D98" s="730">
        <v>51</v>
      </c>
      <c r="E98" s="692"/>
      <c r="F98" s="688"/>
      <c r="G98" s="692"/>
      <c r="H98" s="727">
        <f t="shared" ref="H98:H101" si="50">SUM(C98:G98)</f>
        <v>239</v>
      </c>
      <c r="I98" s="761"/>
      <c r="J98" s="731"/>
      <c r="K98" s="731"/>
      <c r="L98" s="727">
        <f t="shared" ref="L98:L101" si="51">SUM(I98:K98)</f>
        <v>0</v>
      </c>
      <c r="M98" s="726">
        <f t="shared" ref="M98:M101" si="52">SUM(H98+L98)</f>
        <v>239</v>
      </c>
      <c r="N98" s="726"/>
      <c r="O98" s="726">
        <f t="shared" ref="O98:O101" si="53">SUM(M98+N98)</f>
        <v>239</v>
      </c>
    </row>
    <row r="99" spans="1:15" s="685" customFormat="1" ht="31.5" x14ac:dyDescent="0.25">
      <c r="A99" s="694"/>
      <c r="B99" s="637" t="s">
        <v>1152</v>
      </c>
      <c r="C99" s="732">
        <v>238</v>
      </c>
      <c r="D99" s="730">
        <v>64</v>
      </c>
      <c r="E99" s="730"/>
      <c r="F99" s="688"/>
      <c r="G99" s="692"/>
      <c r="H99" s="727">
        <f t="shared" si="50"/>
        <v>302</v>
      </c>
      <c r="I99" s="761"/>
      <c r="J99" s="731"/>
      <c r="K99" s="731"/>
      <c r="L99" s="727">
        <f t="shared" si="51"/>
        <v>0</v>
      </c>
      <c r="M99" s="726">
        <f t="shared" si="52"/>
        <v>302</v>
      </c>
      <c r="N99" s="726"/>
      <c r="O99" s="726">
        <f t="shared" si="53"/>
        <v>302</v>
      </c>
    </row>
    <row r="100" spans="1:15" s="685" customFormat="1" x14ac:dyDescent="0.25">
      <c r="A100" s="694"/>
      <c r="B100" s="680" t="s">
        <v>179</v>
      </c>
      <c r="C100" s="712"/>
      <c r="D100" s="692"/>
      <c r="E100" s="692"/>
      <c r="F100" s="688"/>
      <c r="G100" s="692"/>
      <c r="H100" s="727"/>
      <c r="I100" s="761"/>
      <c r="J100" s="731"/>
      <c r="K100" s="731"/>
      <c r="L100" s="727"/>
      <c r="M100" s="726"/>
      <c r="N100" s="726"/>
      <c r="O100" s="726"/>
    </row>
    <row r="101" spans="1:15" s="685" customFormat="1" ht="16.5" thickBot="1" x14ac:dyDescent="0.3">
      <c r="A101" s="694"/>
      <c r="B101" s="637" t="s">
        <v>1111</v>
      </c>
      <c r="C101" s="732">
        <v>394</v>
      </c>
      <c r="D101" s="730">
        <v>136</v>
      </c>
      <c r="E101" s="730"/>
      <c r="F101" s="688"/>
      <c r="G101" s="692"/>
      <c r="H101" s="727">
        <f t="shared" si="50"/>
        <v>530</v>
      </c>
      <c r="I101" s="761"/>
      <c r="J101" s="731"/>
      <c r="K101" s="731"/>
      <c r="L101" s="727">
        <f t="shared" si="51"/>
        <v>0</v>
      </c>
      <c r="M101" s="726">
        <f t="shared" si="52"/>
        <v>530</v>
      </c>
      <c r="N101" s="726"/>
      <c r="O101" s="726">
        <f t="shared" si="53"/>
        <v>530</v>
      </c>
    </row>
    <row r="102" spans="1:15" s="685" customFormat="1" ht="17.25" thickTop="1" thickBot="1" x14ac:dyDescent="0.3">
      <c r="A102" s="660"/>
      <c r="B102" s="659" t="s">
        <v>736</v>
      </c>
      <c r="C102" s="658">
        <f>+C94+C98+C99+C101</f>
        <v>52996</v>
      </c>
      <c r="D102" s="658">
        <f t="shared" ref="D102:O102" si="54">+D94+D98+D99+D101</f>
        <v>15340</v>
      </c>
      <c r="E102" s="658">
        <f t="shared" si="54"/>
        <v>17264</v>
      </c>
      <c r="F102" s="658">
        <f t="shared" si="54"/>
        <v>0</v>
      </c>
      <c r="G102" s="658">
        <f t="shared" si="54"/>
        <v>0</v>
      </c>
      <c r="H102" s="658">
        <f t="shared" si="54"/>
        <v>85600</v>
      </c>
      <c r="I102" s="658">
        <f t="shared" si="54"/>
        <v>0</v>
      </c>
      <c r="J102" s="658">
        <f t="shared" si="54"/>
        <v>0</v>
      </c>
      <c r="K102" s="658">
        <f t="shared" si="54"/>
        <v>0</v>
      </c>
      <c r="L102" s="658">
        <f t="shared" si="54"/>
        <v>0</v>
      </c>
      <c r="M102" s="658">
        <f t="shared" si="54"/>
        <v>85600</v>
      </c>
      <c r="N102" s="658">
        <f t="shared" si="54"/>
        <v>0</v>
      </c>
      <c r="O102" s="658">
        <f t="shared" si="54"/>
        <v>85600</v>
      </c>
    </row>
    <row r="103" spans="1:15" s="685" customFormat="1" ht="17.25" thickTop="1" thickBot="1" x14ac:dyDescent="0.3">
      <c r="A103" s="660"/>
      <c r="B103" s="659" t="s">
        <v>735</v>
      </c>
      <c r="C103" s="658">
        <f>+C95+C98+C99</f>
        <v>52011</v>
      </c>
      <c r="D103" s="658">
        <f t="shared" ref="D103:O103" si="55">+D95+D98+D99</f>
        <v>15000</v>
      </c>
      <c r="E103" s="658">
        <f t="shared" si="55"/>
        <v>17134</v>
      </c>
      <c r="F103" s="658">
        <f t="shared" si="55"/>
        <v>0</v>
      </c>
      <c r="G103" s="658">
        <f t="shared" si="55"/>
        <v>0</v>
      </c>
      <c r="H103" s="658">
        <f t="shared" si="55"/>
        <v>84145</v>
      </c>
      <c r="I103" s="658">
        <f t="shared" si="55"/>
        <v>0</v>
      </c>
      <c r="J103" s="658">
        <f t="shared" si="55"/>
        <v>0</v>
      </c>
      <c r="K103" s="658">
        <f t="shared" si="55"/>
        <v>0</v>
      </c>
      <c r="L103" s="658">
        <f t="shared" si="55"/>
        <v>0</v>
      </c>
      <c r="M103" s="658">
        <f t="shared" si="55"/>
        <v>84145</v>
      </c>
      <c r="N103" s="658">
        <f t="shared" si="55"/>
        <v>0</v>
      </c>
      <c r="O103" s="658">
        <f t="shared" si="55"/>
        <v>84145</v>
      </c>
    </row>
    <row r="104" spans="1:15" ht="17.25" thickTop="1" thickBot="1" x14ac:dyDescent="0.3">
      <c r="A104" s="660"/>
      <c r="B104" s="659" t="s">
        <v>734</v>
      </c>
      <c r="C104" s="658">
        <f>+C96+C101</f>
        <v>985</v>
      </c>
      <c r="D104" s="658">
        <f t="shared" ref="D104:O104" si="56">+D96+D101</f>
        <v>340</v>
      </c>
      <c r="E104" s="658">
        <f t="shared" si="56"/>
        <v>130</v>
      </c>
      <c r="F104" s="658">
        <f t="shared" si="56"/>
        <v>0</v>
      </c>
      <c r="G104" s="658">
        <f t="shared" si="56"/>
        <v>0</v>
      </c>
      <c r="H104" s="658">
        <f t="shared" si="56"/>
        <v>1455</v>
      </c>
      <c r="I104" s="658">
        <f t="shared" si="56"/>
        <v>0</v>
      </c>
      <c r="J104" s="658">
        <f t="shared" si="56"/>
        <v>0</v>
      </c>
      <c r="K104" s="658">
        <f t="shared" si="56"/>
        <v>0</v>
      </c>
      <c r="L104" s="658">
        <f t="shared" si="56"/>
        <v>0</v>
      </c>
      <c r="M104" s="658">
        <f t="shared" si="56"/>
        <v>1455</v>
      </c>
      <c r="N104" s="658">
        <f t="shared" si="56"/>
        <v>0</v>
      </c>
      <c r="O104" s="658">
        <f t="shared" si="56"/>
        <v>1455</v>
      </c>
    </row>
    <row r="105" spans="1:15" ht="17.25" thickTop="1" thickBot="1" x14ac:dyDescent="0.3">
      <c r="A105" s="660"/>
      <c r="B105" s="659" t="s">
        <v>766</v>
      </c>
      <c r="C105" s="658">
        <f t="shared" ref="C105:O105" si="57">SUM(C42+C54+C66+C78+C90+C102)</f>
        <v>285619</v>
      </c>
      <c r="D105" s="658">
        <f t="shared" si="57"/>
        <v>78369</v>
      </c>
      <c r="E105" s="658">
        <f t="shared" si="57"/>
        <v>86627</v>
      </c>
      <c r="F105" s="658">
        <f t="shared" si="57"/>
        <v>0</v>
      </c>
      <c r="G105" s="658">
        <f t="shared" si="57"/>
        <v>0</v>
      </c>
      <c r="H105" s="658">
        <f t="shared" si="57"/>
        <v>450615</v>
      </c>
      <c r="I105" s="658">
        <f t="shared" si="57"/>
        <v>0</v>
      </c>
      <c r="J105" s="658">
        <f t="shared" si="57"/>
        <v>0</v>
      </c>
      <c r="K105" s="658">
        <f t="shared" si="57"/>
        <v>0</v>
      </c>
      <c r="L105" s="658">
        <f t="shared" si="57"/>
        <v>0</v>
      </c>
      <c r="M105" s="658">
        <f t="shared" si="57"/>
        <v>450615</v>
      </c>
      <c r="N105" s="658">
        <f t="shared" si="57"/>
        <v>0</v>
      </c>
      <c r="O105" s="658">
        <f t="shared" si="57"/>
        <v>450615</v>
      </c>
    </row>
    <row r="106" spans="1:15" ht="16.5" thickTop="1" x14ac:dyDescent="0.25">
      <c r="A106" s="679" t="s">
        <v>200</v>
      </c>
      <c r="B106" s="636" t="s">
        <v>765</v>
      </c>
      <c r="C106" s="681"/>
      <c r="D106" s="677"/>
      <c r="E106" s="677"/>
      <c r="F106" s="682"/>
      <c r="G106" s="677"/>
      <c r="H106" s="674"/>
      <c r="I106" s="676"/>
      <c r="J106" s="675"/>
      <c r="K106" s="675"/>
      <c r="L106" s="674"/>
      <c r="M106" s="674"/>
      <c r="N106" s="674"/>
      <c r="O106" s="674"/>
    </row>
    <row r="107" spans="1:15" x14ac:dyDescent="0.25">
      <c r="A107" s="679"/>
      <c r="B107" s="627" t="s">
        <v>653</v>
      </c>
      <c r="C107" s="681">
        <v>144011</v>
      </c>
      <c r="D107" s="677">
        <v>40959</v>
      </c>
      <c r="E107" s="677">
        <v>60528</v>
      </c>
      <c r="F107" s="675"/>
      <c r="G107" s="677"/>
      <c r="H107" s="674">
        <f>SUM(C107:G107)</f>
        <v>245498</v>
      </c>
      <c r="I107" s="676"/>
      <c r="J107" s="675"/>
      <c r="K107" s="675"/>
      <c r="L107" s="674">
        <f>SUM(I107:K107)</f>
        <v>0</v>
      </c>
      <c r="M107" s="673">
        <f>SUM(H107+L107)</f>
        <v>245498</v>
      </c>
      <c r="N107" s="673"/>
      <c r="O107" s="673">
        <f>SUM(M107+N107)</f>
        <v>245498</v>
      </c>
    </row>
    <row r="108" spans="1:15" x14ac:dyDescent="0.25">
      <c r="A108" s="679"/>
      <c r="B108" s="680" t="s">
        <v>1151</v>
      </c>
      <c r="C108" s="712">
        <v>142946</v>
      </c>
      <c r="D108" s="692">
        <v>40593</v>
      </c>
      <c r="E108" s="692">
        <v>60373</v>
      </c>
      <c r="F108" s="688"/>
      <c r="G108" s="692"/>
      <c r="H108" s="687">
        <f>SUM(C108:G108)</f>
        <v>243912</v>
      </c>
      <c r="I108" s="689"/>
      <c r="J108" s="688"/>
      <c r="K108" s="688"/>
      <c r="L108" s="687">
        <f>SUM(I108:K108)</f>
        <v>0</v>
      </c>
      <c r="M108" s="686">
        <f>SUM(H108+L108)</f>
        <v>243912</v>
      </c>
      <c r="N108" s="686"/>
      <c r="O108" s="686">
        <f>SUM(M108+N108)</f>
        <v>243912</v>
      </c>
    </row>
    <row r="109" spans="1:15" s="685" customFormat="1" x14ac:dyDescent="0.25">
      <c r="A109" s="684"/>
      <c r="B109" s="683" t="s">
        <v>737</v>
      </c>
      <c r="C109" s="712">
        <v>1065</v>
      </c>
      <c r="D109" s="692">
        <v>366</v>
      </c>
      <c r="E109" s="692">
        <v>155</v>
      </c>
      <c r="F109" s="688"/>
      <c r="G109" s="692"/>
      <c r="H109" s="687">
        <f>SUM(C109:G109)</f>
        <v>1586</v>
      </c>
      <c r="I109" s="689"/>
      <c r="J109" s="688"/>
      <c r="K109" s="688"/>
      <c r="L109" s="687">
        <f>SUM(I109:K109)</f>
        <v>0</v>
      </c>
      <c r="M109" s="687">
        <f>SUM(H109+L109)</f>
        <v>1586</v>
      </c>
      <c r="N109" s="687"/>
      <c r="O109" s="687">
        <f>SUM(M109+N109)</f>
        <v>1586</v>
      </c>
    </row>
    <row r="110" spans="1:15" s="685" customFormat="1" x14ac:dyDescent="0.25">
      <c r="A110" s="684"/>
      <c r="B110" s="683" t="s">
        <v>178</v>
      </c>
      <c r="C110" s="712"/>
      <c r="D110" s="692"/>
      <c r="E110" s="692"/>
      <c r="F110" s="688"/>
      <c r="G110" s="692"/>
      <c r="H110" s="687"/>
      <c r="I110" s="689"/>
      <c r="J110" s="688"/>
      <c r="K110" s="688"/>
      <c r="L110" s="687"/>
      <c r="M110" s="687"/>
      <c r="N110" s="687"/>
      <c r="O110" s="687"/>
    </row>
    <row r="111" spans="1:15" s="685" customFormat="1" x14ac:dyDescent="0.25">
      <c r="A111" s="679"/>
      <c r="B111" s="637" t="s">
        <v>1110</v>
      </c>
      <c r="C111" s="732">
        <v>80</v>
      </c>
      <c r="D111" s="730">
        <v>21</v>
      </c>
      <c r="E111" s="692"/>
      <c r="F111" s="688"/>
      <c r="G111" s="692"/>
      <c r="H111" s="727">
        <f t="shared" ref="H111:H113" si="58">SUM(C111:G111)</f>
        <v>101</v>
      </c>
      <c r="I111" s="761"/>
      <c r="J111" s="731"/>
      <c r="K111" s="731"/>
      <c r="L111" s="727">
        <f t="shared" ref="L111:L113" si="59">SUM(I111:K111)</f>
        <v>0</v>
      </c>
      <c r="M111" s="726">
        <f t="shared" ref="M111:M113" si="60">SUM(H111+L111)</f>
        <v>101</v>
      </c>
      <c r="N111" s="726"/>
      <c r="O111" s="726">
        <f t="shared" ref="O111:O113" si="61">SUM(M111+N111)</f>
        <v>101</v>
      </c>
    </row>
    <row r="112" spans="1:15" s="685" customFormat="1" x14ac:dyDescent="0.25">
      <c r="A112" s="679"/>
      <c r="B112" s="680" t="s">
        <v>179</v>
      </c>
      <c r="C112" s="712"/>
      <c r="D112" s="692"/>
      <c r="E112" s="692"/>
      <c r="F112" s="688"/>
      <c r="G112" s="692"/>
      <c r="H112" s="727"/>
      <c r="I112" s="761"/>
      <c r="J112" s="731"/>
      <c r="K112" s="731"/>
      <c r="L112" s="727"/>
      <c r="M112" s="726"/>
      <c r="N112" s="726"/>
      <c r="O112" s="726"/>
    </row>
    <row r="113" spans="1:15" s="685" customFormat="1" ht="16.5" thickBot="1" x14ac:dyDescent="0.3">
      <c r="A113" s="679"/>
      <c r="B113" s="637" t="s">
        <v>1111</v>
      </c>
      <c r="C113" s="732">
        <v>714</v>
      </c>
      <c r="D113" s="730">
        <v>247</v>
      </c>
      <c r="E113" s="730"/>
      <c r="F113" s="688"/>
      <c r="G113" s="692"/>
      <c r="H113" s="727">
        <f t="shared" si="58"/>
        <v>961</v>
      </c>
      <c r="I113" s="761"/>
      <c r="J113" s="731"/>
      <c r="K113" s="731"/>
      <c r="L113" s="727">
        <f t="shared" si="59"/>
        <v>0</v>
      </c>
      <c r="M113" s="726">
        <f t="shared" si="60"/>
        <v>961</v>
      </c>
      <c r="N113" s="726"/>
      <c r="O113" s="726">
        <f t="shared" si="61"/>
        <v>961</v>
      </c>
    </row>
    <row r="114" spans="1:15" s="685" customFormat="1" ht="17.25" thickTop="1" thickBot="1" x14ac:dyDescent="0.3">
      <c r="A114" s="660"/>
      <c r="B114" s="659" t="s">
        <v>736</v>
      </c>
      <c r="C114" s="658">
        <f>+C107+C111+C113</f>
        <v>144805</v>
      </c>
      <c r="D114" s="658">
        <f t="shared" ref="D114:O114" si="62">+D107+D111+D113</f>
        <v>41227</v>
      </c>
      <c r="E114" s="658">
        <f t="shared" si="62"/>
        <v>60528</v>
      </c>
      <c r="F114" s="658">
        <f t="shared" si="62"/>
        <v>0</v>
      </c>
      <c r="G114" s="658">
        <f t="shared" si="62"/>
        <v>0</v>
      </c>
      <c r="H114" s="658">
        <f t="shared" si="62"/>
        <v>246560</v>
      </c>
      <c r="I114" s="658">
        <f t="shared" si="62"/>
        <v>0</v>
      </c>
      <c r="J114" s="658">
        <f t="shared" si="62"/>
        <v>0</v>
      </c>
      <c r="K114" s="658">
        <f t="shared" si="62"/>
        <v>0</v>
      </c>
      <c r="L114" s="658">
        <f t="shared" si="62"/>
        <v>0</v>
      </c>
      <c r="M114" s="658">
        <f t="shared" si="62"/>
        <v>246560</v>
      </c>
      <c r="N114" s="658">
        <f t="shared" si="62"/>
        <v>0</v>
      </c>
      <c r="O114" s="658">
        <f t="shared" si="62"/>
        <v>246560</v>
      </c>
    </row>
    <row r="115" spans="1:15" s="685" customFormat="1" ht="17.25" thickTop="1" thickBot="1" x14ac:dyDescent="0.3">
      <c r="A115" s="660"/>
      <c r="B115" s="659" t="s">
        <v>735</v>
      </c>
      <c r="C115" s="658">
        <f>+C108+C111</f>
        <v>143026</v>
      </c>
      <c r="D115" s="658">
        <f t="shared" ref="D115:O115" si="63">+D108+D111</f>
        <v>40614</v>
      </c>
      <c r="E115" s="658">
        <f t="shared" si="63"/>
        <v>60373</v>
      </c>
      <c r="F115" s="658">
        <f t="shared" si="63"/>
        <v>0</v>
      </c>
      <c r="G115" s="658">
        <f t="shared" si="63"/>
        <v>0</v>
      </c>
      <c r="H115" s="658">
        <f t="shared" si="63"/>
        <v>244013</v>
      </c>
      <c r="I115" s="658">
        <f t="shared" si="63"/>
        <v>0</v>
      </c>
      <c r="J115" s="658">
        <f t="shared" si="63"/>
        <v>0</v>
      </c>
      <c r="K115" s="658">
        <f t="shared" si="63"/>
        <v>0</v>
      </c>
      <c r="L115" s="658">
        <f t="shared" si="63"/>
        <v>0</v>
      </c>
      <c r="M115" s="658">
        <f t="shared" si="63"/>
        <v>244013</v>
      </c>
      <c r="N115" s="658">
        <f t="shared" si="63"/>
        <v>0</v>
      </c>
      <c r="O115" s="658">
        <f t="shared" si="63"/>
        <v>244013</v>
      </c>
    </row>
    <row r="116" spans="1:15" s="685" customFormat="1" ht="17.25" thickTop="1" thickBot="1" x14ac:dyDescent="0.3">
      <c r="A116" s="660"/>
      <c r="B116" s="659" t="s">
        <v>734</v>
      </c>
      <c r="C116" s="658">
        <f>+C109+C113</f>
        <v>1779</v>
      </c>
      <c r="D116" s="658">
        <f t="shared" ref="D116:O116" si="64">+D109+D113</f>
        <v>613</v>
      </c>
      <c r="E116" s="658">
        <f t="shared" si="64"/>
        <v>155</v>
      </c>
      <c r="F116" s="658">
        <f t="shared" si="64"/>
        <v>0</v>
      </c>
      <c r="G116" s="658">
        <f t="shared" si="64"/>
        <v>0</v>
      </c>
      <c r="H116" s="658">
        <f t="shared" si="64"/>
        <v>2547</v>
      </c>
      <c r="I116" s="658">
        <f t="shared" si="64"/>
        <v>0</v>
      </c>
      <c r="J116" s="658">
        <f t="shared" si="64"/>
        <v>0</v>
      </c>
      <c r="K116" s="658">
        <f t="shared" si="64"/>
        <v>0</v>
      </c>
      <c r="L116" s="658">
        <f t="shared" si="64"/>
        <v>0</v>
      </c>
      <c r="M116" s="658">
        <f t="shared" si="64"/>
        <v>2547</v>
      </c>
      <c r="N116" s="658">
        <f t="shared" si="64"/>
        <v>0</v>
      </c>
      <c r="O116" s="658">
        <f t="shared" si="64"/>
        <v>2547</v>
      </c>
    </row>
    <row r="117" spans="1:15" s="685" customFormat="1" ht="16.5" thickTop="1" x14ac:dyDescent="0.25">
      <c r="A117" s="679" t="s">
        <v>0</v>
      </c>
      <c r="B117" s="636" t="s">
        <v>764</v>
      </c>
      <c r="C117" s="681"/>
      <c r="D117" s="677"/>
      <c r="E117" s="677"/>
      <c r="F117" s="682"/>
      <c r="G117" s="677"/>
      <c r="H117" s="674"/>
      <c r="I117" s="676"/>
      <c r="J117" s="675"/>
      <c r="K117" s="675"/>
      <c r="L117" s="674"/>
      <c r="M117" s="674"/>
      <c r="N117" s="674"/>
      <c r="O117" s="674"/>
    </row>
    <row r="118" spans="1:15" s="685" customFormat="1" x14ac:dyDescent="0.25">
      <c r="A118" s="679"/>
      <c r="B118" s="627" t="s">
        <v>653</v>
      </c>
      <c r="C118" s="681">
        <v>146012</v>
      </c>
      <c r="D118" s="677">
        <v>41558</v>
      </c>
      <c r="E118" s="677">
        <v>55494</v>
      </c>
      <c r="F118" s="675"/>
      <c r="G118" s="677"/>
      <c r="H118" s="674">
        <f>SUM(C118:G118)</f>
        <v>243064</v>
      </c>
      <c r="I118" s="676"/>
      <c r="J118" s="675"/>
      <c r="K118" s="675"/>
      <c r="L118" s="674">
        <f>SUM(I118:K118)</f>
        <v>0</v>
      </c>
      <c r="M118" s="673">
        <f>SUM(H118+L118)</f>
        <v>243064</v>
      </c>
      <c r="N118" s="673"/>
      <c r="O118" s="673">
        <f>SUM(M118+N118)</f>
        <v>243064</v>
      </c>
    </row>
    <row r="119" spans="1:15" s="685" customFormat="1" x14ac:dyDescent="0.25">
      <c r="A119" s="694"/>
      <c r="B119" s="680" t="s">
        <v>1151</v>
      </c>
      <c r="C119" s="712">
        <v>144911</v>
      </c>
      <c r="D119" s="692">
        <v>41179</v>
      </c>
      <c r="E119" s="692">
        <v>55439</v>
      </c>
      <c r="F119" s="688"/>
      <c r="G119" s="692"/>
      <c r="H119" s="687">
        <f>SUM(C119:G119)</f>
        <v>241529</v>
      </c>
      <c r="I119" s="689"/>
      <c r="J119" s="688"/>
      <c r="K119" s="688"/>
      <c r="L119" s="687">
        <f>SUM(I119:K119)</f>
        <v>0</v>
      </c>
      <c r="M119" s="686">
        <f>SUM(H119+L119)</f>
        <v>241529</v>
      </c>
      <c r="N119" s="686"/>
      <c r="O119" s="686">
        <f>SUM(M119+N119)</f>
        <v>241529</v>
      </c>
    </row>
    <row r="120" spans="1:15" s="685" customFormat="1" x14ac:dyDescent="0.25">
      <c r="A120" s="694"/>
      <c r="B120" s="680" t="s">
        <v>737</v>
      </c>
      <c r="C120" s="712">
        <v>1101</v>
      </c>
      <c r="D120" s="692">
        <v>379</v>
      </c>
      <c r="E120" s="692">
        <v>55</v>
      </c>
      <c r="F120" s="688"/>
      <c r="G120" s="692"/>
      <c r="H120" s="687">
        <f>SUM(C120:G120)</f>
        <v>1535</v>
      </c>
      <c r="I120" s="689"/>
      <c r="J120" s="688"/>
      <c r="K120" s="688"/>
      <c r="L120" s="687">
        <f>SUM(I120:K120)</f>
        <v>0</v>
      </c>
      <c r="M120" s="686">
        <f>SUM(H120+L120)</f>
        <v>1535</v>
      </c>
      <c r="N120" s="686"/>
      <c r="O120" s="686">
        <f>SUM(M120+N120)</f>
        <v>1535</v>
      </c>
    </row>
    <row r="121" spans="1:15" s="685" customFormat="1" x14ac:dyDescent="0.25">
      <c r="A121" s="694"/>
      <c r="B121" s="680" t="s">
        <v>178</v>
      </c>
      <c r="C121" s="712"/>
      <c r="D121" s="692"/>
      <c r="E121" s="692"/>
      <c r="F121" s="688"/>
      <c r="G121" s="692"/>
      <c r="H121" s="687"/>
      <c r="I121" s="689"/>
      <c r="J121" s="688"/>
      <c r="K121" s="688"/>
      <c r="L121" s="687"/>
      <c r="M121" s="686"/>
      <c r="N121" s="686"/>
      <c r="O121" s="686"/>
    </row>
    <row r="122" spans="1:15" x14ac:dyDescent="0.25">
      <c r="A122" s="694"/>
      <c r="B122" s="637" t="s">
        <v>1110</v>
      </c>
      <c r="C122" s="732">
        <v>124</v>
      </c>
      <c r="D122" s="730">
        <v>34</v>
      </c>
      <c r="E122" s="692"/>
      <c r="F122" s="688"/>
      <c r="G122" s="692"/>
      <c r="H122" s="727">
        <f t="shared" ref="H122:H124" si="65">SUM(C122:G122)</f>
        <v>158</v>
      </c>
      <c r="I122" s="761"/>
      <c r="J122" s="731"/>
      <c r="K122" s="731"/>
      <c r="L122" s="727">
        <f t="shared" ref="L122:L124" si="66">SUM(I122:K122)</f>
        <v>0</v>
      </c>
      <c r="M122" s="726">
        <f t="shared" ref="M122:M124" si="67">SUM(H122+L122)</f>
        <v>158</v>
      </c>
      <c r="N122" s="726"/>
      <c r="O122" s="726">
        <f t="shared" ref="O122:O124" si="68">SUM(M122+N122)</f>
        <v>158</v>
      </c>
    </row>
    <row r="123" spans="1:15" x14ac:dyDescent="0.25">
      <c r="A123" s="694"/>
      <c r="B123" s="680" t="s">
        <v>179</v>
      </c>
      <c r="C123" s="712"/>
      <c r="D123" s="692"/>
      <c r="E123" s="692"/>
      <c r="F123" s="688"/>
      <c r="G123" s="692"/>
      <c r="H123" s="727"/>
      <c r="I123" s="761"/>
      <c r="J123" s="731"/>
      <c r="K123" s="731"/>
      <c r="L123" s="727"/>
      <c r="M123" s="726"/>
      <c r="N123" s="726"/>
      <c r="O123" s="726"/>
    </row>
    <row r="124" spans="1:15" ht="16.5" thickBot="1" x14ac:dyDescent="0.3">
      <c r="A124" s="694"/>
      <c r="B124" s="637" t="s">
        <v>1111</v>
      </c>
      <c r="C124" s="732">
        <v>743</v>
      </c>
      <c r="D124" s="730">
        <v>257</v>
      </c>
      <c r="E124" s="730"/>
      <c r="F124" s="688"/>
      <c r="G124" s="692"/>
      <c r="H124" s="727">
        <f t="shared" si="65"/>
        <v>1000</v>
      </c>
      <c r="I124" s="761"/>
      <c r="J124" s="731"/>
      <c r="K124" s="731"/>
      <c r="L124" s="727">
        <f t="shared" si="66"/>
        <v>0</v>
      </c>
      <c r="M124" s="726">
        <f t="shared" si="67"/>
        <v>1000</v>
      </c>
      <c r="N124" s="726"/>
      <c r="O124" s="726">
        <f t="shared" si="68"/>
        <v>1000</v>
      </c>
    </row>
    <row r="125" spans="1:15" ht="17.25" thickTop="1" thickBot="1" x14ac:dyDescent="0.3">
      <c r="A125" s="660"/>
      <c r="B125" s="659" t="s">
        <v>736</v>
      </c>
      <c r="C125" s="658">
        <f>+C118+C122+C124</f>
        <v>146879</v>
      </c>
      <c r="D125" s="658">
        <f t="shared" ref="D125:O125" si="69">+D118+D122+D124</f>
        <v>41849</v>
      </c>
      <c r="E125" s="658">
        <f t="shared" si="69"/>
        <v>55494</v>
      </c>
      <c r="F125" s="658">
        <f t="shared" si="69"/>
        <v>0</v>
      </c>
      <c r="G125" s="658">
        <f t="shared" si="69"/>
        <v>0</v>
      </c>
      <c r="H125" s="658">
        <f t="shared" si="69"/>
        <v>244222</v>
      </c>
      <c r="I125" s="658">
        <f t="shared" si="69"/>
        <v>0</v>
      </c>
      <c r="J125" s="658">
        <f t="shared" si="69"/>
        <v>0</v>
      </c>
      <c r="K125" s="658">
        <f t="shared" si="69"/>
        <v>0</v>
      </c>
      <c r="L125" s="658">
        <f t="shared" si="69"/>
        <v>0</v>
      </c>
      <c r="M125" s="658">
        <f t="shared" si="69"/>
        <v>244222</v>
      </c>
      <c r="N125" s="658">
        <f t="shared" si="69"/>
        <v>0</v>
      </c>
      <c r="O125" s="658">
        <f t="shared" si="69"/>
        <v>244222</v>
      </c>
    </row>
    <row r="126" spans="1:15" ht="17.25" thickTop="1" thickBot="1" x14ac:dyDescent="0.3">
      <c r="A126" s="660"/>
      <c r="B126" s="659" t="s">
        <v>735</v>
      </c>
      <c r="C126" s="658">
        <f>+C119+C122</f>
        <v>145035</v>
      </c>
      <c r="D126" s="658">
        <f t="shared" ref="D126:O126" si="70">+D119+D122</f>
        <v>41213</v>
      </c>
      <c r="E126" s="658">
        <f t="shared" si="70"/>
        <v>55439</v>
      </c>
      <c r="F126" s="658">
        <f t="shared" si="70"/>
        <v>0</v>
      </c>
      <c r="G126" s="658">
        <f t="shared" si="70"/>
        <v>0</v>
      </c>
      <c r="H126" s="658">
        <f t="shared" si="70"/>
        <v>241687</v>
      </c>
      <c r="I126" s="658">
        <f t="shared" si="70"/>
        <v>0</v>
      </c>
      <c r="J126" s="658">
        <f t="shared" si="70"/>
        <v>0</v>
      </c>
      <c r="K126" s="658">
        <f t="shared" si="70"/>
        <v>0</v>
      </c>
      <c r="L126" s="658">
        <f t="shared" si="70"/>
        <v>0</v>
      </c>
      <c r="M126" s="658">
        <f t="shared" si="70"/>
        <v>241687</v>
      </c>
      <c r="N126" s="658">
        <f t="shared" si="70"/>
        <v>0</v>
      </c>
      <c r="O126" s="658">
        <f t="shared" si="70"/>
        <v>241687</v>
      </c>
    </row>
    <row r="127" spans="1:15" s="685" customFormat="1" ht="17.25" thickTop="1" thickBot="1" x14ac:dyDescent="0.3">
      <c r="A127" s="660"/>
      <c r="B127" s="659" t="s">
        <v>734</v>
      </c>
      <c r="C127" s="658">
        <f>+C120+C124</f>
        <v>1844</v>
      </c>
      <c r="D127" s="658">
        <f t="shared" ref="D127:O127" si="71">+D120+D124</f>
        <v>636</v>
      </c>
      <c r="E127" s="658">
        <f t="shared" si="71"/>
        <v>55</v>
      </c>
      <c r="F127" s="658">
        <f t="shared" si="71"/>
        <v>0</v>
      </c>
      <c r="G127" s="658">
        <f t="shared" si="71"/>
        <v>0</v>
      </c>
      <c r="H127" s="658">
        <f t="shared" si="71"/>
        <v>2535</v>
      </c>
      <c r="I127" s="658">
        <f t="shared" si="71"/>
        <v>0</v>
      </c>
      <c r="J127" s="658">
        <f t="shared" si="71"/>
        <v>0</v>
      </c>
      <c r="K127" s="658">
        <f t="shared" si="71"/>
        <v>0</v>
      </c>
      <c r="L127" s="658">
        <f t="shared" si="71"/>
        <v>0</v>
      </c>
      <c r="M127" s="658">
        <f t="shared" si="71"/>
        <v>2535</v>
      </c>
      <c r="N127" s="658">
        <f t="shared" si="71"/>
        <v>0</v>
      </c>
      <c r="O127" s="658">
        <f t="shared" si="71"/>
        <v>2535</v>
      </c>
    </row>
    <row r="128" spans="1:15" s="685" customFormat="1" ht="32.25" thickTop="1" x14ac:dyDescent="0.25">
      <c r="A128" s="672" t="s">
        <v>1</v>
      </c>
      <c r="B128" s="724" t="s">
        <v>695</v>
      </c>
      <c r="C128" s="671"/>
      <c r="D128" s="670"/>
      <c r="E128" s="670"/>
      <c r="F128" s="668"/>
      <c r="G128" s="670"/>
      <c r="H128" s="667"/>
      <c r="I128" s="669"/>
      <c r="J128" s="668"/>
      <c r="K128" s="668"/>
      <c r="L128" s="667"/>
      <c r="M128" s="667"/>
      <c r="N128" s="667"/>
      <c r="O128" s="667"/>
    </row>
    <row r="129" spans="1:15" s="685" customFormat="1" x14ac:dyDescent="0.25">
      <c r="A129" s="679"/>
      <c r="B129" s="627" t="s">
        <v>653</v>
      </c>
      <c r="C129" s="681">
        <v>158265</v>
      </c>
      <c r="D129" s="677">
        <v>44945</v>
      </c>
      <c r="E129" s="677">
        <v>90332</v>
      </c>
      <c r="F129" s="675"/>
      <c r="G129" s="677"/>
      <c r="H129" s="674">
        <f>SUM(C129:G129)</f>
        <v>293542</v>
      </c>
      <c r="I129" s="676"/>
      <c r="J129" s="675"/>
      <c r="K129" s="675"/>
      <c r="L129" s="674">
        <f>SUM(I129:K129)</f>
        <v>0</v>
      </c>
      <c r="M129" s="673">
        <f>SUM(H129+L129)</f>
        <v>293542</v>
      </c>
      <c r="N129" s="673"/>
      <c r="O129" s="673">
        <f>SUM(M129+N129)</f>
        <v>293542</v>
      </c>
    </row>
    <row r="130" spans="1:15" s="685" customFormat="1" x14ac:dyDescent="0.25">
      <c r="A130" s="694"/>
      <c r="B130" s="680" t="s">
        <v>1151</v>
      </c>
      <c r="C130" s="712">
        <v>157065</v>
      </c>
      <c r="D130" s="692">
        <v>44530</v>
      </c>
      <c r="E130" s="692">
        <v>90277</v>
      </c>
      <c r="F130" s="688"/>
      <c r="G130" s="692"/>
      <c r="H130" s="687">
        <f>SUM(C130:G130)</f>
        <v>291872</v>
      </c>
      <c r="I130" s="689"/>
      <c r="J130" s="688"/>
      <c r="K130" s="688"/>
      <c r="L130" s="687">
        <f>SUM(I130:K130)</f>
        <v>0</v>
      </c>
      <c r="M130" s="686">
        <f>SUM(H130+L130)</f>
        <v>291872</v>
      </c>
      <c r="N130" s="686"/>
      <c r="O130" s="686">
        <f>SUM(M130+N130)</f>
        <v>291872</v>
      </c>
    </row>
    <row r="131" spans="1:15" s="685" customFormat="1" x14ac:dyDescent="0.25">
      <c r="A131" s="694"/>
      <c r="B131" s="680" t="s">
        <v>737</v>
      </c>
      <c r="C131" s="712">
        <v>1200</v>
      </c>
      <c r="D131" s="692">
        <v>415</v>
      </c>
      <c r="E131" s="692">
        <v>55</v>
      </c>
      <c r="F131" s="688"/>
      <c r="G131" s="692"/>
      <c r="H131" s="687">
        <f>SUM(C131:G131)</f>
        <v>1670</v>
      </c>
      <c r="I131" s="689"/>
      <c r="J131" s="688"/>
      <c r="K131" s="688"/>
      <c r="L131" s="687">
        <f>SUM(I131:K131)</f>
        <v>0</v>
      </c>
      <c r="M131" s="686">
        <f>SUM(H131+L131)</f>
        <v>1670</v>
      </c>
      <c r="N131" s="686"/>
      <c r="O131" s="686">
        <f>SUM(M131+N131)</f>
        <v>1670</v>
      </c>
    </row>
    <row r="132" spans="1:15" s="685" customFormat="1" x14ac:dyDescent="0.25">
      <c r="A132" s="694"/>
      <c r="B132" s="680" t="s">
        <v>178</v>
      </c>
      <c r="C132" s="712"/>
      <c r="D132" s="692"/>
      <c r="E132" s="692"/>
      <c r="F132" s="688"/>
      <c r="G132" s="692"/>
      <c r="H132" s="687"/>
      <c r="I132" s="689"/>
      <c r="J132" s="688"/>
      <c r="K132" s="688"/>
      <c r="L132" s="687"/>
      <c r="M132" s="686"/>
      <c r="N132" s="686"/>
      <c r="O132" s="686"/>
    </row>
    <row r="133" spans="1:15" s="685" customFormat="1" x14ac:dyDescent="0.25">
      <c r="A133" s="694"/>
      <c r="B133" s="637" t="s">
        <v>1110</v>
      </c>
      <c r="C133" s="732">
        <v>127</v>
      </c>
      <c r="D133" s="730">
        <v>34</v>
      </c>
      <c r="E133" s="692"/>
      <c r="F133" s="688"/>
      <c r="G133" s="692"/>
      <c r="H133" s="727">
        <f t="shared" ref="H133:H135" si="72">SUM(C133:G133)</f>
        <v>161</v>
      </c>
      <c r="I133" s="761"/>
      <c r="J133" s="731"/>
      <c r="K133" s="731"/>
      <c r="L133" s="727">
        <f t="shared" ref="L133:L135" si="73">SUM(I133:K133)</f>
        <v>0</v>
      </c>
      <c r="M133" s="726">
        <f t="shared" ref="M133:M135" si="74">SUM(H133+L133)</f>
        <v>161</v>
      </c>
      <c r="N133" s="726"/>
      <c r="O133" s="726">
        <f t="shared" ref="O133:O135" si="75">SUM(M133+N133)</f>
        <v>161</v>
      </c>
    </row>
    <row r="134" spans="1:15" s="685" customFormat="1" x14ac:dyDescent="0.25">
      <c r="A134" s="694"/>
      <c r="B134" s="680" t="s">
        <v>179</v>
      </c>
      <c r="C134" s="732"/>
      <c r="D134" s="730"/>
      <c r="E134" s="692"/>
      <c r="F134" s="688"/>
      <c r="G134" s="692"/>
      <c r="H134" s="727"/>
      <c r="I134" s="761"/>
      <c r="J134" s="731"/>
      <c r="K134" s="731"/>
      <c r="L134" s="727"/>
      <c r="M134" s="726"/>
      <c r="N134" s="726"/>
      <c r="O134" s="726"/>
    </row>
    <row r="135" spans="1:15" s="685" customFormat="1" ht="16.5" thickBot="1" x14ac:dyDescent="0.3">
      <c r="A135" s="694"/>
      <c r="B135" s="637" t="s">
        <v>1111</v>
      </c>
      <c r="C135" s="732">
        <v>810</v>
      </c>
      <c r="D135" s="730">
        <v>280</v>
      </c>
      <c r="E135" s="730"/>
      <c r="F135" s="688"/>
      <c r="G135" s="692"/>
      <c r="H135" s="727">
        <f t="shared" si="72"/>
        <v>1090</v>
      </c>
      <c r="I135" s="761"/>
      <c r="J135" s="731"/>
      <c r="K135" s="731"/>
      <c r="L135" s="727">
        <f t="shared" si="73"/>
        <v>0</v>
      </c>
      <c r="M135" s="726">
        <f t="shared" si="74"/>
        <v>1090</v>
      </c>
      <c r="N135" s="726"/>
      <c r="O135" s="726">
        <f t="shared" si="75"/>
        <v>1090</v>
      </c>
    </row>
    <row r="136" spans="1:15" s="685" customFormat="1" ht="17.25" thickTop="1" thickBot="1" x14ac:dyDescent="0.3">
      <c r="A136" s="660"/>
      <c r="B136" s="659" t="s">
        <v>736</v>
      </c>
      <c r="C136" s="658">
        <f>+C129+C133+C135</f>
        <v>159202</v>
      </c>
      <c r="D136" s="658">
        <f t="shared" ref="D136:O136" si="76">+D129+D133+D135</f>
        <v>45259</v>
      </c>
      <c r="E136" s="658">
        <f t="shared" si="76"/>
        <v>90332</v>
      </c>
      <c r="F136" s="658">
        <f t="shared" si="76"/>
        <v>0</v>
      </c>
      <c r="G136" s="658">
        <f t="shared" si="76"/>
        <v>0</v>
      </c>
      <c r="H136" s="658">
        <f t="shared" si="76"/>
        <v>294793</v>
      </c>
      <c r="I136" s="658">
        <f t="shared" si="76"/>
        <v>0</v>
      </c>
      <c r="J136" s="658">
        <f t="shared" si="76"/>
        <v>0</v>
      </c>
      <c r="K136" s="658">
        <f t="shared" si="76"/>
        <v>0</v>
      </c>
      <c r="L136" s="658">
        <f t="shared" si="76"/>
        <v>0</v>
      </c>
      <c r="M136" s="658">
        <f t="shared" si="76"/>
        <v>294793</v>
      </c>
      <c r="N136" s="658">
        <f t="shared" si="76"/>
        <v>0</v>
      </c>
      <c r="O136" s="658">
        <f t="shared" si="76"/>
        <v>294793</v>
      </c>
    </row>
    <row r="137" spans="1:15" s="685" customFormat="1" ht="17.25" thickTop="1" thickBot="1" x14ac:dyDescent="0.3">
      <c r="A137" s="660"/>
      <c r="B137" s="659" t="s">
        <v>735</v>
      </c>
      <c r="C137" s="658">
        <f>+C130+C133</f>
        <v>157192</v>
      </c>
      <c r="D137" s="658">
        <f t="shared" ref="D137:O137" si="77">+D130+D133</f>
        <v>44564</v>
      </c>
      <c r="E137" s="658">
        <f t="shared" si="77"/>
        <v>90277</v>
      </c>
      <c r="F137" s="658">
        <f t="shared" si="77"/>
        <v>0</v>
      </c>
      <c r="G137" s="658">
        <f t="shared" si="77"/>
        <v>0</v>
      </c>
      <c r="H137" s="658">
        <f t="shared" si="77"/>
        <v>292033</v>
      </c>
      <c r="I137" s="658">
        <f t="shared" si="77"/>
        <v>0</v>
      </c>
      <c r="J137" s="658">
        <f t="shared" si="77"/>
        <v>0</v>
      </c>
      <c r="K137" s="658">
        <f t="shared" si="77"/>
        <v>0</v>
      </c>
      <c r="L137" s="658">
        <f t="shared" si="77"/>
        <v>0</v>
      </c>
      <c r="M137" s="658">
        <f t="shared" si="77"/>
        <v>292033</v>
      </c>
      <c r="N137" s="658">
        <f t="shared" si="77"/>
        <v>0</v>
      </c>
      <c r="O137" s="658">
        <f t="shared" si="77"/>
        <v>292033</v>
      </c>
    </row>
    <row r="138" spans="1:15" s="685" customFormat="1" ht="17.25" thickTop="1" thickBot="1" x14ac:dyDescent="0.3">
      <c r="A138" s="660"/>
      <c r="B138" s="659" t="s">
        <v>734</v>
      </c>
      <c r="C138" s="658">
        <f>+C131+C135</f>
        <v>2010</v>
      </c>
      <c r="D138" s="658">
        <f t="shared" ref="D138:O138" si="78">+D131+D135</f>
        <v>695</v>
      </c>
      <c r="E138" s="658">
        <f t="shared" si="78"/>
        <v>55</v>
      </c>
      <c r="F138" s="658">
        <f t="shared" si="78"/>
        <v>0</v>
      </c>
      <c r="G138" s="658">
        <f t="shared" si="78"/>
        <v>0</v>
      </c>
      <c r="H138" s="658">
        <f t="shared" si="78"/>
        <v>2760</v>
      </c>
      <c r="I138" s="658">
        <f t="shared" si="78"/>
        <v>0</v>
      </c>
      <c r="J138" s="658">
        <f t="shared" si="78"/>
        <v>0</v>
      </c>
      <c r="K138" s="658">
        <f t="shared" si="78"/>
        <v>0</v>
      </c>
      <c r="L138" s="658">
        <f t="shared" si="78"/>
        <v>0</v>
      </c>
      <c r="M138" s="658">
        <f t="shared" si="78"/>
        <v>2760</v>
      </c>
      <c r="N138" s="658">
        <f t="shared" si="78"/>
        <v>0</v>
      </c>
      <c r="O138" s="658">
        <f t="shared" si="78"/>
        <v>2760</v>
      </c>
    </row>
    <row r="139" spans="1:15" ht="16.5" thickTop="1" x14ac:dyDescent="0.25">
      <c r="A139" s="679" t="s">
        <v>2</v>
      </c>
      <c r="B139" s="636" t="s">
        <v>763</v>
      </c>
      <c r="C139" s="681"/>
      <c r="D139" s="677"/>
      <c r="E139" s="677"/>
      <c r="F139" s="682"/>
      <c r="G139" s="677"/>
      <c r="H139" s="674"/>
      <c r="I139" s="676"/>
      <c r="J139" s="675"/>
      <c r="K139" s="675"/>
      <c r="L139" s="674"/>
      <c r="M139" s="674"/>
      <c r="N139" s="674"/>
      <c r="O139" s="674"/>
    </row>
    <row r="140" spans="1:15" x14ac:dyDescent="0.25">
      <c r="A140" s="684"/>
      <c r="B140" s="636" t="s">
        <v>653</v>
      </c>
      <c r="C140" s="681">
        <v>102390</v>
      </c>
      <c r="D140" s="677">
        <v>28978</v>
      </c>
      <c r="E140" s="677">
        <v>49812</v>
      </c>
      <c r="F140" s="675"/>
      <c r="G140" s="677"/>
      <c r="H140" s="674">
        <f>SUM(C140:G140)</f>
        <v>181180</v>
      </c>
      <c r="I140" s="676">
        <v>4420</v>
      </c>
      <c r="J140" s="675"/>
      <c r="K140" s="675"/>
      <c r="L140" s="674">
        <f>SUM(I140:K140)</f>
        <v>4420</v>
      </c>
      <c r="M140" s="673">
        <f>SUM(H140+L140)</f>
        <v>185600</v>
      </c>
      <c r="N140" s="673"/>
      <c r="O140" s="673">
        <f>SUM(M140+N140)</f>
        <v>185600</v>
      </c>
    </row>
    <row r="141" spans="1:15" x14ac:dyDescent="0.25">
      <c r="A141" s="713"/>
      <c r="B141" s="680" t="s">
        <v>1151</v>
      </c>
      <c r="C141" s="712">
        <v>101673</v>
      </c>
      <c r="D141" s="692">
        <v>28730</v>
      </c>
      <c r="E141" s="692">
        <v>49507</v>
      </c>
      <c r="F141" s="688"/>
      <c r="G141" s="692"/>
      <c r="H141" s="687">
        <f>SUM(C141:G141)</f>
        <v>179910</v>
      </c>
      <c r="I141" s="689">
        <v>4420</v>
      </c>
      <c r="J141" s="688"/>
      <c r="K141" s="688"/>
      <c r="L141" s="687">
        <f>SUM(I141:K141)</f>
        <v>4420</v>
      </c>
      <c r="M141" s="686">
        <f>SUM(H141+L141)</f>
        <v>184330</v>
      </c>
      <c r="N141" s="686"/>
      <c r="O141" s="686">
        <f>SUM(M141+N141)</f>
        <v>184330</v>
      </c>
    </row>
    <row r="142" spans="1:15" x14ac:dyDescent="0.25">
      <c r="A142" s="713"/>
      <c r="B142" s="680" t="s">
        <v>737</v>
      </c>
      <c r="C142" s="712">
        <v>717</v>
      </c>
      <c r="D142" s="692">
        <v>248</v>
      </c>
      <c r="E142" s="692">
        <v>305</v>
      </c>
      <c r="F142" s="688"/>
      <c r="G142" s="692"/>
      <c r="H142" s="687">
        <f>SUM(C142:G142)</f>
        <v>1270</v>
      </c>
      <c r="I142" s="689"/>
      <c r="J142" s="688"/>
      <c r="K142" s="688"/>
      <c r="L142" s="687">
        <f>SUM(I142:K142)</f>
        <v>0</v>
      </c>
      <c r="M142" s="686">
        <f>SUM(H142+L142)</f>
        <v>1270</v>
      </c>
      <c r="N142" s="686"/>
      <c r="O142" s="686">
        <f>SUM(M142+N142)</f>
        <v>1270</v>
      </c>
    </row>
    <row r="143" spans="1:15" x14ac:dyDescent="0.25">
      <c r="A143" s="684"/>
      <c r="B143" s="683" t="s">
        <v>178</v>
      </c>
      <c r="C143" s="681"/>
      <c r="D143" s="677"/>
      <c r="E143" s="677"/>
      <c r="F143" s="675"/>
      <c r="G143" s="677"/>
      <c r="H143" s="674"/>
      <c r="I143" s="676"/>
      <c r="J143" s="675"/>
      <c r="K143" s="675"/>
      <c r="L143" s="674"/>
      <c r="M143" s="673"/>
      <c r="N143" s="673"/>
      <c r="O143" s="673"/>
    </row>
    <row r="144" spans="1:15" x14ac:dyDescent="0.25">
      <c r="A144" s="684"/>
      <c r="B144" s="628" t="s">
        <v>1110</v>
      </c>
      <c r="C144" s="681">
        <v>167</v>
      </c>
      <c r="D144" s="677">
        <v>45</v>
      </c>
      <c r="E144" s="677"/>
      <c r="F144" s="675"/>
      <c r="G144" s="677"/>
      <c r="H144" s="674">
        <f>SUM(C144:G144)</f>
        <v>212</v>
      </c>
      <c r="I144" s="676"/>
      <c r="J144" s="675"/>
      <c r="K144" s="675"/>
      <c r="L144" s="674">
        <f>SUM(I144:K144)</f>
        <v>0</v>
      </c>
      <c r="M144" s="674">
        <f>SUM(H144+L144)</f>
        <v>212</v>
      </c>
      <c r="N144" s="674"/>
      <c r="O144" s="674">
        <f>SUM(M144+N144)</f>
        <v>212</v>
      </c>
    </row>
    <row r="145" spans="1:15" ht="31.5" x14ac:dyDescent="0.25">
      <c r="A145" s="713"/>
      <c r="B145" s="638" t="s">
        <v>941</v>
      </c>
      <c r="C145" s="732">
        <v>344</v>
      </c>
      <c r="D145" s="730">
        <v>93</v>
      </c>
      <c r="E145" s="730"/>
      <c r="F145" s="688"/>
      <c r="G145" s="692"/>
      <c r="H145" s="674">
        <f t="shared" ref="H145:H147" si="79">SUM(C145:G145)</f>
        <v>437</v>
      </c>
      <c r="I145" s="689"/>
      <c r="J145" s="688"/>
      <c r="K145" s="688"/>
      <c r="L145" s="674">
        <f t="shared" ref="L145:L147" si="80">SUM(I145:K145)</f>
        <v>0</v>
      </c>
      <c r="M145" s="674">
        <f t="shared" ref="M145:M147" si="81">SUM(H145+L145)</f>
        <v>437</v>
      </c>
      <c r="N145" s="687"/>
      <c r="O145" s="674">
        <f t="shared" ref="O145:O147" si="82">SUM(M145+N145)</f>
        <v>437</v>
      </c>
    </row>
    <row r="146" spans="1:15" x14ac:dyDescent="0.25">
      <c r="A146" s="713"/>
      <c r="B146" s="683" t="s">
        <v>179</v>
      </c>
      <c r="C146" s="712"/>
      <c r="D146" s="692"/>
      <c r="E146" s="692"/>
      <c r="F146" s="688"/>
      <c r="G146" s="692"/>
      <c r="H146" s="674"/>
      <c r="I146" s="689"/>
      <c r="J146" s="688"/>
      <c r="K146" s="688"/>
      <c r="L146" s="674"/>
      <c r="M146" s="674"/>
      <c r="N146" s="687"/>
      <c r="O146" s="674"/>
    </row>
    <row r="147" spans="1:15" ht="16.5" thickBot="1" x14ac:dyDescent="0.3">
      <c r="A147" s="713"/>
      <c r="B147" s="637" t="s">
        <v>1111</v>
      </c>
      <c r="C147" s="732">
        <v>473</v>
      </c>
      <c r="D147" s="730">
        <v>164</v>
      </c>
      <c r="E147" s="730"/>
      <c r="F147" s="688"/>
      <c r="G147" s="692"/>
      <c r="H147" s="674">
        <f t="shared" si="79"/>
        <v>637</v>
      </c>
      <c r="I147" s="689"/>
      <c r="J147" s="688"/>
      <c r="K147" s="688"/>
      <c r="L147" s="674">
        <f t="shared" si="80"/>
        <v>0</v>
      </c>
      <c r="M147" s="674">
        <f t="shared" si="81"/>
        <v>637</v>
      </c>
      <c r="N147" s="686"/>
      <c r="O147" s="674">
        <f t="shared" si="82"/>
        <v>637</v>
      </c>
    </row>
    <row r="148" spans="1:15" ht="17.25" thickTop="1" thickBot="1" x14ac:dyDescent="0.3">
      <c r="A148" s="660"/>
      <c r="B148" s="659" t="s">
        <v>736</v>
      </c>
      <c r="C148" s="658">
        <f>+C140+C144+C145+C147</f>
        <v>103374</v>
      </c>
      <c r="D148" s="658">
        <f t="shared" ref="D148:O148" si="83">+D140+D144+D145+D147</f>
        <v>29280</v>
      </c>
      <c r="E148" s="658">
        <f t="shared" si="83"/>
        <v>49812</v>
      </c>
      <c r="F148" s="658">
        <f t="shared" si="83"/>
        <v>0</v>
      </c>
      <c r="G148" s="658">
        <f t="shared" si="83"/>
        <v>0</v>
      </c>
      <c r="H148" s="658">
        <f t="shared" si="83"/>
        <v>182466</v>
      </c>
      <c r="I148" s="658">
        <f t="shared" si="83"/>
        <v>4420</v>
      </c>
      <c r="J148" s="658">
        <f t="shared" si="83"/>
        <v>0</v>
      </c>
      <c r="K148" s="658">
        <f t="shared" si="83"/>
        <v>0</v>
      </c>
      <c r="L148" s="658">
        <f t="shared" si="83"/>
        <v>4420</v>
      </c>
      <c r="M148" s="658">
        <f t="shared" si="83"/>
        <v>186886</v>
      </c>
      <c r="N148" s="658">
        <f t="shared" si="83"/>
        <v>0</v>
      </c>
      <c r="O148" s="658">
        <f t="shared" si="83"/>
        <v>186886</v>
      </c>
    </row>
    <row r="149" spans="1:15" ht="17.25" thickTop="1" thickBot="1" x14ac:dyDescent="0.3">
      <c r="A149" s="660"/>
      <c r="B149" s="659" t="s">
        <v>735</v>
      </c>
      <c r="C149" s="658">
        <f>+C141+C144+C145</f>
        <v>102184</v>
      </c>
      <c r="D149" s="658">
        <f t="shared" ref="D149:O149" si="84">+D141+D144+D145</f>
        <v>28868</v>
      </c>
      <c r="E149" s="658">
        <f t="shared" si="84"/>
        <v>49507</v>
      </c>
      <c r="F149" s="658">
        <f t="shared" si="84"/>
        <v>0</v>
      </c>
      <c r="G149" s="658">
        <f t="shared" si="84"/>
        <v>0</v>
      </c>
      <c r="H149" s="658">
        <f t="shared" si="84"/>
        <v>180559</v>
      </c>
      <c r="I149" s="658">
        <f t="shared" si="84"/>
        <v>4420</v>
      </c>
      <c r="J149" s="658">
        <f t="shared" si="84"/>
        <v>0</v>
      </c>
      <c r="K149" s="658">
        <f t="shared" si="84"/>
        <v>0</v>
      </c>
      <c r="L149" s="658">
        <f t="shared" si="84"/>
        <v>4420</v>
      </c>
      <c r="M149" s="658">
        <f t="shared" si="84"/>
        <v>184979</v>
      </c>
      <c r="N149" s="658">
        <f t="shared" si="84"/>
        <v>0</v>
      </c>
      <c r="O149" s="658">
        <f t="shared" si="84"/>
        <v>184979</v>
      </c>
    </row>
    <row r="150" spans="1:15" ht="17.25" thickTop="1" thickBot="1" x14ac:dyDescent="0.3">
      <c r="A150" s="660"/>
      <c r="B150" s="659" t="s">
        <v>734</v>
      </c>
      <c r="C150" s="658">
        <f>+C142+C147</f>
        <v>1190</v>
      </c>
      <c r="D150" s="658">
        <f t="shared" ref="D150:O150" si="85">+D142+D147</f>
        <v>412</v>
      </c>
      <c r="E150" s="658">
        <f t="shared" si="85"/>
        <v>305</v>
      </c>
      <c r="F150" s="658">
        <f t="shared" si="85"/>
        <v>0</v>
      </c>
      <c r="G150" s="658">
        <f t="shared" si="85"/>
        <v>0</v>
      </c>
      <c r="H150" s="658">
        <f t="shared" si="85"/>
        <v>1907</v>
      </c>
      <c r="I150" s="658">
        <f t="shared" si="85"/>
        <v>0</v>
      </c>
      <c r="J150" s="658">
        <f t="shared" si="85"/>
        <v>0</v>
      </c>
      <c r="K150" s="658">
        <f t="shared" si="85"/>
        <v>0</v>
      </c>
      <c r="L150" s="658">
        <f t="shared" si="85"/>
        <v>0</v>
      </c>
      <c r="M150" s="658">
        <f t="shared" si="85"/>
        <v>1907</v>
      </c>
      <c r="N150" s="658">
        <f t="shared" si="85"/>
        <v>0</v>
      </c>
      <c r="O150" s="658">
        <f t="shared" si="85"/>
        <v>1907</v>
      </c>
    </row>
    <row r="151" spans="1:15" ht="16.5" thickTop="1" x14ac:dyDescent="0.25">
      <c r="A151" s="679" t="s">
        <v>3</v>
      </c>
      <c r="B151" s="636" t="s">
        <v>762</v>
      </c>
      <c r="C151" s="681"/>
      <c r="D151" s="677"/>
      <c r="E151" s="677"/>
      <c r="F151" s="682"/>
      <c r="G151" s="677"/>
      <c r="H151" s="674"/>
      <c r="I151" s="676"/>
      <c r="J151" s="675"/>
      <c r="K151" s="675"/>
      <c r="L151" s="674"/>
      <c r="M151" s="674"/>
      <c r="N151" s="674"/>
      <c r="O151" s="674"/>
    </row>
    <row r="152" spans="1:15" x14ac:dyDescent="0.25">
      <c r="A152" s="679"/>
      <c r="B152" s="627" t="s">
        <v>653</v>
      </c>
      <c r="C152" s="681">
        <v>127214</v>
      </c>
      <c r="D152" s="677">
        <v>36127</v>
      </c>
      <c r="E152" s="677">
        <v>63308</v>
      </c>
      <c r="F152" s="675"/>
      <c r="G152" s="677"/>
      <c r="H152" s="674">
        <f>SUM(C152:G152)</f>
        <v>226649</v>
      </c>
      <c r="I152" s="676"/>
      <c r="J152" s="675"/>
      <c r="K152" s="675"/>
      <c r="L152" s="674">
        <f>SUM(I152:K152)</f>
        <v>0</v>
      </c>
      <c r="M152" s="673">
        <f>SUM(H152+L152)</f>
        <v>226649</v>
      </c>
      <c r="N152" s="673"/>
      <c r="O152" s="673">
        <f>SUM(M152+N152)</f>
        <v>226649</v>
      </c>
    </row>
    <row r="153" spans="1:15" x14ac:dyDescent="0.25">
      <c r="A153" s="694"/>
      <c r="B153" s="680" t="s">
        <v>1151</v>
      </c>
      <c r="C153" s="712">
        <v>126286</v>
      </c>
      <c r="D153" s="692">
        <v>35807</v>
      </c>
      <c r="E153" s="692">
        <v>63253</v>
      </c>
      <c r="F153" s="688"/>
      <c r="G153" s="692"/>
      <c r="H153" s="687">
        <f>SUM(C153:G153)</f>
        <v>225346</v>
      </c>
      <c r="I153" s="689"/>
      <c r="J153" s="688"/>
      <c r="K153" s="688"/>
      <c r="L153" s="687">
        <f>SUM(I153:K153)</f>
        <v>0</v>
      </c>
      <c r="M153" s="686">
        <f>SUM(H153+L153)</f>
        <v>225346</v>
      </c>
      <c r="N153" s="686"/>
      <c r="O153" s="686">
        <f>SUM(M153+N153)</f>
        <v>225346</v>
      </c>
    </row>
    <row r="154" spans="1:15" x14ac:dyDescent="0.25">
      <c r="A154" s="694"/>
      <c r="B154" s="680" t="s">
        <v>737</v>
      </c>
      <c r="C154" s="712">
        <v>928</v>
      </c>
      <c r="D154" s="692">
        <v>320</v>
      </c>
      <c r="E154" s="692">
        <v>55</v>
      </c>
      <c r="F154" s="688"/>
      <c r="G154" s="692"/>
      <c r="H154" s="687">
        <f>SUM(C154:G154)</f>
        <v>1303</v>
      </c>
      <c r="I154" s="689"/>
      <c r="J154" s="688"/>
      <c r="K154" s="688"/>
      <c r="L154" s="687">
        <f>SUM(I154:K154)</f>
        <v>0</v>
      </c>
      <c r="M154" s="686">
        <f>SUM(H154+L154)</f>
        <v>1303</v>
      </c>
      <c r="N154" s="686"/>
      <c r="O154" s="686">
        <f>SUM(M154+N154)</f>
        <v>1303</v>
      </c>
    </row>
    <row r="155" spans="1:15" x14ac:dyDescent="0.25">
      <c r="A155" s="694"/>
      <c r="B155" s="680" t="s">
        <v>178</v>
      </c>
      <c r="C155" s="712"/>
      <c r="D155" s="692"/>
      <c r="E155" s="692"/>
      <c r="F155" s="688"/>
      <c r="G155" s="692"/>
      <c r="H155" s="687"/>
      <c r="I155" s="689"/>
      <c r="J155" s="688"/>
      <c r="K155" s="688"/>
      <c r="L155" s="687"/>
      <c r="M155" s="686"/>
      <c r="N155" s="686"/>
      <c r="O155" s="686"/>
    </row>
    <row r="156" spans="1:15" x14ac:dyDescent="0.25">
      <c r="A156" s="694"/>
      <c r="B156" s="637" t="s">
        <v>1110</v>
      </c>
      <c r="C156" s="732">
        <v>85</v>
      </c>
      <c r="D156" s="730">
        <v>23</v>
      </c>
      <c r="E156" s="692"/>
      <c r="F156" s="688"/>
      <c r="G156" s="692"/>
      <c r="H156" s="727">
        <f t="shared" ref="H156:H159" si="86">SUM(C156:G156)</f>
        <v>108</v>
      </c>
      <c r="I156" s="761"/>
      <c r="J156" s="731"/>
      <c r="K156" s="731"/>
      <c r="L156" s="727">
        <f t="shared" ref="L156:L159" si="87">SUM(I156:K156)</f>
        <v>0</v>
      </c>
      <c r="M156" s="726">
        <f t="shared" ref="M156:M159" si="88">SUM(H156+L156)</f>
        <v>108</v>
      </c>
      <c r="N156" s="726"/>
      <c r="O156" s="726">
        <f t="shared" ref="O156:O159" si="89">SUM(M156+N156)</f>
        <v>108</v>
      </c>
    </row>
    <row r="157" spans="1:15" ht="31.5" x14ac:dyDescent="0.25">
      <c r="A157" s="694"/>
      <c r="B157" s="637" t="s">
        <v>941</v>
      </c>
      <c r="C157" s="732">
        <v>129</v>
      </c>
      <c r="D157" s="730">
        <v>35</v>
      </c>
      <c r="E157" s="730"/>
      <c r="F157" s="688"/>
      <c r="G157" s="692"/>
      <c r="H157" s="727">
        <f t="shared" si="86"/>
        <v>164</v>
      </c>
      <c r="I157" s="761"/>
      <c r="J157" s="731"/>
      <c r="K157" s="731"/>
      <c r="L157" s="727">
        <f t="shared" si="87"/>
        <v>0</v>
      </c>
      <c r="M157" s="726">
        <f t="shared" si="88"/>
        <v>164</v>
      </c>
      <c r="N157" s="726"/>
      <c r="O157" s="726">
        <f t="shared" si="89"/>
        <v>164</v>
      </c>
    </row>
    <row r="158" spans="1:15" x14ac:dyDescent="0.25">
      <c r="A158" s="694"/>
      <c r="B158" s="680" t="s">
        <v>179</v>
      </c>
      <c r="C158" s="712"/>
      <c r="D158" s="692"/>
      <c r="E158" s="692"/>
      <c r="F158" s="688"/>
      <c r="G158" s="692"/>
      <c r="H158" s="727"/>
      <c r="I158" s="761"/>
      <c r="J158" s="731"/>
      <c r="K158" s="731"/>
      <c r="L158" s="727"/>
      <c r="M158" s="726"/>
      <c r="N158" s="726"/>
      <c r="O158" s="726"/>
    </row>
    <row r="159" spans="1:15" ht="16.5" thickBot="1" x14ac:dyDescent="0.3">
      <c r="A159" s="694"/>
      <c r="B159" s="637" t="s">
        <v>1111</v>
      </c>
      <c r="C159" s="732">
        <v>613</v>
      </c>
      <c r="D159" s="730">
        <v>211</v>
      </c>
      <c r="E159" s="730"/>
      <c r="F159" s="688"/>
      <c r="G159" s="692"/>
      <c r="H159" s="727">
        <f t="shared" si="86"/>
        <v>824</v>
      </c>
      <c r="I159" s="761"/>
      <c r="J159" s="731"/>
      <c r="K159" s="731"/>
      <c r="L159" s="727">
        <f t="shared" si="87"/>
        <v>0</v>
      </c>
      <c r="M159" s="726">
        <f t="shared" si="88"/>
        <v>824</v>
      </c>
      <c r="N159" s="726"/>
      <c r="O159" s="726">
        <f t="shared" si="89"/>
        <v>824</v>
      </c>
    </row>
    <row r="160" spans="1:15" s="685" customFormat="1" ht="17.25" thickTop="1" thickBot="1" x14ac:dyDescent="0.3">
      <c r="A160" s="660"/>
      <c r="B160" s="659" t="s">
        <v>736</v>
      </c>
      <c r="C160" s="658">
        <f>+C152+C156+C157+C159</f>
        <v>128041</v>
      </c>
      <c r="D160" s="658">
        <f t="shared" ref="D160:O160" si="90">+D152+D156+D157+D159</f>
        <v>36396</v>
      </c>
      <c r="E160" s="658">
        <f t="shared" si="90"/>
        <v>63308</v>
      </c>
      <c r="F160" s="658">
        <f t="shared" si="90"/>
        <v>0</v>
      </c>
      <c r="G160" s="658">
        <f t="shared" si="90"/>
        <v>0</v>
      </c>
      <c r="H160" s="658">
        <f t="shared" si="90"/>
        <v>227745</v>
      </c>
      <c r="I160" s="658">
        <f t="shared" si="90"/>
        <v>0</v>
      </c>
      <c r="J160" s="658">
        <f t="shared" si="90"/>
        <v>0</v>
      </c>
      <c r="K160" s="658">
        <f t="shared" si="90"/>
        <v>0</v>
      </c>
      <c r="L160" s="658">
        <f t="shared" si="90"/>
        <v>0</v>
      </c>
      <c r="M160" s="658">
        <f t="shared" si="90"/>
        <v>227745</v>
      </c>
      <c r="N160" s="658">
        <f t="shared" si="90"/>
        <v>0</v>
      </c>
      <c r="O160" s="658">
        <f t="shared" si="90"/>
        <v>227745</v>
      </c>
    </row>
    <row r="161" spans="1:15" s="685" customFormat="1" ht="17.25" thickTop="1" thickBot="1" x14ac:dyDescent="0.3">
      <c r="A161" s="660"/>
      <c r="B161" s="659" t="s">
        <v>735</v>
      </c>
      <c r="C161" s="658">
        <f>+C153+C156+C157</f>
        <v>126500</v>
      </c>
      <c r="D161" s="658">
        <f t="shared" ref="D161:O161" si="91">+D153+D156+D157</f>
        <v>35865</v>
      </c>
      <c r="E161" s="658">
        <f t="shared" si="91"/>
        <v>63253</v>
      </c>
      <c r="F161" s="658">
        <f t="shared" si="91"/>
        <v>0</v>
      </c>
      <c r="G161" s="658">
        <f t="shared" si="91"/>
        <v>0</v>
      </c>
      <c r="H161" s="658">
        <f t="shared" si="91"/>
        <v>225618</v>
      </c>
      <c r="I161" s="658">
        <f t="shared" si="91"/>
        <v>0</v>
      </c>
      <c r="J161" s="658">
        <f t="shared" si="91"/>
        <v>0</v>
      </c>
      <c r="K161" s="658">
        <f t="shared" si="91"/>
        <v>0</v>
      </c>
      <c r="L161" s="658">
        <f t="shared" si="91"/>
        <v>0</v>
      </c>
      <c r="M161" s="658">
        <f t="shared" si="91"/>
        <v>225618</v>
      </c>
      <c r="N161" s="658">
        <f t="shared" si="91"/>
        <v>0</v>
      </c>
      <c r="O161" s="658">
        <f t="shared" si="91"/>
        <v>225618</v>
      </c>
    </row>
    <row r="162" spans="1:15" s="685" customFormat="1" ht="17.25" thickTop="1" thickBot="1" x14ac:dyDescent="0.3">
      <c r="A162" s="660"/>
      <c r="B162" s="659" t="s">
        <v>734</v>
      </c>
      <c r="C162" s="658">
        <f>+C154+C159</f>
        <v>1541</v>
      </c>
      <c r="D162" s="658">
        <f t="shared" ref="D162:O162" si="92">+D154+D159</f>
        <v>531</v>
      </c>
      <c r="E162" s="658">
        <f t="shared" si="92"/>
        <v>55</v>
      </c>
      <c r="F162" s="658">
        <f t="shared" si="92"/>
        <v>0</v>
      </c>
      <c r="G162" s="658">
        <f t="shared" si="92"/>
        <v>0</v>
      </c>
      <c r="H162" s="658">
        <f t="shared" si="92"/>
        <v>2127</v>
      </c>
      <c r="I162" s="658">
        <f t="shared" si="92"/>
        <v>0</v>
      </c>
      <c r="J162" s="658">
        <f t="shared" si="92"/>
        <v>0</v>
      </c>
      <c r="K162" s="658">
        <f t="shared" si="92"/>
        <v>0</v>
      </c>
      <c r="L162" s="658">
        <f t="shared" si="92"/>
        <v>0</v>
      </c>
      <c r="M162" s="658">
        <f t="shared" si="92"/>
        <v>2127</v>
      </c>
      <c r="N162" s="658">
        <f t="shared" si="92"/>
        <v>0</v>
      </c>
      <c r="O162" s="658">
        <f t="shared" si="92"/>
        <v>2127</v>
      </c>
    </row>
    <row r="163" spans="1:15" s="685" customFormat="1" ht="16.5" thickTop="1" x14ac:dyDescent="0.25">
      <c r="A163" s="679" t="s">
        <v>4</v>
      </c>
      <c r="B163" s="636" t="s">
        <v>761</v>
      </c>
      <c r="C163" s="681"/>
      <c r="D163" s="677"/>
      <c r="E163" s="677"/>
      <c r="F163" s="682"/>
      <c r="G163" s="677"/>
      <c r="H163" s="674"/>
      <c r="I163" s="676"/>
      <c r="J163" s="675"/>
      <c r="K163" s="675"/>
      <c r="L163" s="674"/>
      <c r="M163" s="674"/>
      <c r="N163" s="674"/>
      <c r="O163" s="674"/>
    </row>
    <row r="164" spans="1:15" s="685" customFormat="1" x14ac:dyDescent="0.25">
      <c r="A164" s="684"/>
      <c r="B164" s="636" t="s">
        <v>653</v>
      </c>
      <c r="C164" s="681">
        <v>107124</v>
      </c>
      <c r="D164" s="677">
        <v>30596</v>
      </c>
      <c r="E164" s="677">
        <v>62129</v>
      </c>
      <c r="F164" s="675"/>
      <c r="G164" s="677"/>
      <c r="H164" s="674">
        <f>SUM(C164:G164)</f>
        <v>199849</v>
      </c>
      <c r="I164" s="676"/>
      <c r="J164" s="675"/>
      <c r="K164" s="675"/>
      <c r="L164" s="674">
        <f>SUM(I164:K164)</f>
        <v>0</v>
      </c>
      <c r="M164" s="673">
        <f>SUM(H164+L164)</f>
        <v>199849</v>
      </c>
      <c r="N164" s="673"/>
      <c r="O164" s="673">
        <f>SUM(M164+N164)</f>
        <v>199849</v>
      </c>
    </row>
    <row r="165" spans="1:15" s="685" customFormat="1" x14ac:dyDescent="0.25">
      <c r="A165" s="713"/>
      <c r="B165" s="680" t="s">
        <v>1151</v>
      </c>
      <c r="C165" s="712">
        <v>106324</v>
      </c>
      <c r="D165" s="692">
        <v>30321</v>
      </c>
      <c r="E165" s="692">
        <v>62074</v>
      </c>
      <c r="F165" s="688"/>
      <c r="G165" s="692"/>
      <c r="H165" s="687">
        <f>SUM(C165:G165)</f>
        <v>198719</v>
      </c>
      <c r="I165" s="689"/>
      <c r="J165" s="688"/>
      <c r="K165" s="688"/>
      <c r="L165" s="687">
        <f>SUM(I165:K165)</f>
        <v>0</v>
      </c>
      <c r="M165" s="686">
        <f>SUM(H165+L165)</f>
        <v>198719</v>
      </c>
      <c r="N165" s="686"/>
      <c r="O165" s="686">
        <f>SUM(M165+N165)</f>
        <v>198719</v>
      </c>
    </row>
    <row r="166" spans="1:15" s="685" customFormat="1" x14ac:dyDescent="0.25">
      <c r="A166" s="713"/>
      <c r="B166" s="680" t="s">
        <v>737</v>
      </c>
      <c r="C166" s="712">
        <v>800</v>
      </c>
      <c r="D166" s="692">
        <v>275</v>
      </c>
      <c r="E166" s="692">
        <v>55</v>
      </c>
      <c r="F166" s="688"/>
      <c r="G166" s="692"/>
      <c r="H166" s="687">
        <f>SUM(C166:G166)</f>
        <v>1130</v>
      </c>
      <c r="I166" s="689"/>
      <c r="J166" s="688"/>
      <c r="K166" s="688"/>
      <c r="L166" s="687">
        <f>SUM(I166:K166)</f>
        <v>0</v>
      </c>
      <c r="M166" s="686">
        <f>SUM(H166+L166)</f>
        <v>1130</v>
      </c>
      <c r="N166" s="686"/>
      <c r="O166" s="686">
        <f>SUM(M166+N166)</f>
        <v>1130</v>
      </c>
    </row>
    <row r="167" spans="1:15" s="685" customFormat="1" x14ac:dyDescent="0.25">
      <c r="A167" s="713"/>
      <c r="B167" s="680" t="s">
        <v>178</v>
      </c>
      <c r="C167" s="712"/>
      <c r="D167" s="692"/>
      <c r="E167" s="692"/>
      <c r="F167" s="688"/>
      <c r="G167" s="692"/>
      <c r="H167" s="687"/>
      <c r="I167" s="689"/>
      <c r="J167" s="688"/>
      <c r="K167" s="688"/>
      <c r="L167" s="687"/>
      <c r="M167" s="686"/>
      <c r="N167" s="686"/>
      <c r="O167" s="686"/>
    </row>
    <row r="168" spans="1:15" s="685" customFormat="1" x14ac:dyDescent="0.25">
      <c r="A168" s="713"/>
      <c r="B168" s="637" t="s">
        <v>1110</v>
      </c>
      <c r="C168" s="732">
        <v>35</v>
      </c>
      <c r="D168" s="730">
        <v>10</v>
      </c>
      <c r="E168" s="692"/>
      <c r="F168" s="688"/>
      <c r="G168" s="692"/>
      <c r="H168" s="727">
        <f t="shared" ref="H168:H171" si="93">SUM(C168:G168)</f>
        <v>45</v>
      </c>
      <c r="I168" s="761"/>
      <c r="J168" s="731"/>
      <c r="K168" s="731"/>
      <c r="L168" s="727">
        <f t="shared" ref="L168:L171" si="94">SUM(I168:K168)</f>
        <v>0</v>
      </c>
      <c r="M168" s="726">
        <f t="shared" ref="M168:M171" si="95">SUM(H168+L168)</f>
        <v>45</v>
      </c>
      <c r="N168" s="726"/>
      <c r="O168" s="726">
        <f t="shared" ref="O168:O171" si="96">SUM(M168+N168)</f>
        <v>45</v>
      </c>
    </row>
    <row r="169" spans="1:15" s="685" customFormat="1" x14ac:dyDescent="0.25">
      <c r="A169" s="713"/>
      <c r="B169" s="637" t="s">
        <v>942</v>
      </c>
      <c r="C169" s="732">
        <v>900</v>
      </c>
      <c r="D169" s="730">
        <v>243</v>
      </c>
      <c r="E169" s="730"/>
      <c r="F169" s="688"/>
      <c r="G169" s="692"/>
      <c r="H169" s="727">
        <f t="shared" si="93"/>
        <v>1143</v>
      </c>
      <c r="I169" s="761"/>
      <c r="J169" s="731"/>
      <c r="K169" s="731"/>
      <c r="L169" s="727">
        <f t="shared" si="94"/>
        <v>0</v>
      </c>
      <c r="M169" s="726">
        <f t="shared" si="95"/>
        <v>1143</v>
      </c>
      <c r="N169" s="726"/>
      <c r="O169" s="726">
        <f t="shared" si="96"/>
        <v>1143</v>
      </c>
    </row>
    <row r="170" spans="1:15" x14ac:dyDescent="0.25">
      <c r="A170" s="713"/>
      <c r="B170" s="680" t="s">
        <v>179</v>
      </c>
      <c r="C170" s="712"/>
      <c r="D170" s="692"/>
      <c r="E170" s="692"/>
      <c r="F170" s="688"/>
      <c r="G170" s="692"/>
      <c r="H170" s="727"/>
      <c r="I170" s="761"/>
      <c r="J170" s="731"/>
      <c r="K170" s="731"/>
      <c r="L170" s="727"/>
      <c r="M170" s="726"/>
      <c r="N170" s="726"/>
      <c r="O170" s="726"/>
    </row>
    <row r="171" spans="1:15" ht="16.5" thickBot="1" x14ac:dyDescent="0.3">
      <c r="A171" s="713"/>
      <c r="B171" s="637" t="s">
        <v>1111</v>
      </c>
      <c r="C171" s="732">
        <v>541</v>
      </c>
      <c r="D171" s="730">
        <v>186</v>
      </c>
      <c r="E171" s="730"/>
      <c r="F171" s="688"/>
      <c r="G171" s="692"/>
      <c r="H171" s="727">
        <f t="shared" si="93"/>
        <v>727</v>
      </c>
      <c r="I171" s="761"/>
      <c r="J171" s="731"/>
      <c r="K171" s="731"/>
      <c r="L171" s="727">
        <f t="shared" si="94"/>
        <v>0</v>
      </c>
      <c r="M171" s="726">
        <f t="shared" si="95"/>
        <v>727</v>
      </c>
      <c r="N171" s="726"/>
      <c r="O171" s="726">
        <f t="shared" si="96"/>
        <v>727</v>
      </c>
    </row>
    <row r="172" spans="1:15" ht="17.25" thickTop="1" thickBot="1" x14ac:dyDescent="0.3">
      <c r="A172" s="660"/>
      <c r="B172" s="659" t="s">
        <v>736</v>
      </c>
      <c r="C172" s="658">
        <f>+C164+C168+C169+C171</f>
        <v>108600</v>
      </c>
      <c r="D172" s="658">
        <f t="shared" ref="D172:O172" si="97">+D164+D168+D169+D171</f>
        <v>31035</v>
      </c>
      <c r="E172" s="658">
        <f t="shared" si="97"/>
        <v>62129</v>
      </c>
      <c r="F172" s="658">
        <f t="shared" si="97"/>
        <v>0</v>
      </c>
      <c r="G172" s="658">
        <f t="shared" si="97"/>
        <v>0</v>
      </c>
      <c r="H172" s="658">
        <f t="shared" si="97"/>
        <v>201764</v>
      </c>
      <c r="I172" s="658">
        <f t="shared" si="97"/>
        <v>0</v>
      </c>
      <c r="J172" s="658">
        <f t="shared" si="97"/>
        <v>0</v>
      </c>
      <c r="K172" s="658">
        <f t="shared" si="97"/>
        <v>0</v>
      </c>
      <c r="L172" s="658">
        <f t="shared" si="97"/>
        <v>0</v>
      </c>
      <c r="M172" s="658">
        <f t="shared" si="97"/>
        <v>201764</v>
      </c>
      <c r="N172" s="658">
        <f t="shared" si="97"/>
        <v>0</v>
      </c>
      <c r="O172" s="658">
        <f t="shared" si="97"/>
        <v>201764</v>
      </c>
    </row>
    <row r="173" spans="1:15" ht="17.25" thickTop="1" thickBot="1" x14ac:dyDescent="0.3">
      <c r="A173" s="660"/>
      <c r="B173" s="659" t="s">
        <v>735</v>
      </c>
      <c r="C173" s="658">
        <f>+C165+C168+C169</f>
        <v>107259</v>
      </c>
      <c r="D173" s="658">
        <f t="shared" ref="D173:O173" si="98">+D165+D168+D169</f>
        <v>30574</v>
      </c>
      <c r="E173" s="658">
        <f t="shared" si="98"/>
        <v>62074</v>
      </c>
      <c r="F173" s="658">
        <f t="shared" si="98"/>
        <v>0</v>
      </c>
      <c r="G173" s="658">
        <f t="shared" si="98"/>
        <v>0</v>
      </c>
      <c r="H173" s="658">
        <f t="shared" si="98"/>
        <v>199907</v>
      </c>
      <c r="I173" s="658">
        <f t="shared" si="98"/>
        <v>0</v>
      </c>
      <c r="J173" s="658">
        <f t="shared" si="98"/>
        <v>0</v>
      </c>
      <c r="K173" s="658">
        <f t="shared" si="98"/>
        <v>0</v>
      </c>
      <c r="L173" s="658">
        <f t="shared" si="98"/>
        <v>0</v>
      </c>
      <c r="M173" s="658">
        <f t="shared" si="98"/>
        <v>199907</v>
      </c>
      <c r="N173" s="658">
        <f t="shared" si="98"/>
        <v>0</v>
      </c>
      <c r="O173" s="658">
        <f t="shared" si="98"/>
        <v>199907</v>
      </c>
    </row>
    <row r="174" spans="1:15" ht="17.25" thickTop="1" thickBot="1" x14ac:dyDescent="0.3">
      <c r="A174" s="660"/>
      <c r="B174" s="659" t="s">
        <v>734</v>
      </c>
      <c r="C174" s="658">
        <f>+C166+C171</f>
        <v>1341</v>
      </c>
      <c r="D174" s="658">
        <f t="shared" ref="D174:O174" si="99">+D166+D171</f>
        <v>461</v>
      </c>
      <c r="E174" s="658">
        <f t="shared" si="99"/>
        <v>55</v>
      </c>
      <c r="F174" s="658">
        <f t="shared" si="99"/>
        <v>0</v>
      </c>
      <c r="G174" s="658">
        <f t="shared" si="99"/>
        <v>0</v>
      </c>
      <c r="H174" s="658">
        <f t="shared" si="99"/>
        <v>1857</v>
      </c>
      <c r="I174" s="658">
        <f t="shared" si="99"/>
        <v>0</v>
      </c>
      <c r="J174" s="658">
        <f t="shared" si="99"/>
        <v>0</v>
      </c>
      <c r="K174" s="658">
        <f t="shared" si="99"/>
        <v>0</v>
      </c>
      <c r="L174" s="658">
        <f t="shared" si="99"/>
        <v>0</v>
      </c>
      <c r="M174" s="658">
        <f t="shared" si="99"/>
        <v>1857</v>
      </c>
      <c r="N174" s="658">
        <f t="shared" si="99"/>
        <v>0</v>
      </c>
      <c r="O174" s="658">
        <f t="shared" si="99"/>
        <v>1857</v>
      </c>
    </row>
    <row r="175" spans="1:15" s="685" customFormat="1" ht="16.5" thickTop="1" x14ac:dyDescent="0.25">
      <c r="A175" s="679" t="s">
        <v>5</v>
      </c>
      <c r="B175" s="636" t="s">
        <v>760</v>
      </c>
      <c r="C175" s="681"/>
      <c r="D175" s="677"/>
      <c r="E175" s="677"/>
      <c r="F175" s="682"/>
      <c r="G175" s="677"/>
      <c r="H175" s="674"/>
      <c r="I175" s="676"/>
      <c r="J175" s="675"/>
      <c r="K175" s="675"/>
      <c r="L175" s="674"/>
      <c r="M175" s="674"/>
      <c r="N175" s="674"/>
      <c r="O175" s="674"/>
    </row>
    <row r="176" spans="1:15" s="685" customFormat="1" x14ac:dyDescent="0.25">
      <c r="A176" s="679"/>
      <c r="B176" s="627" t="s">
        <v>653</v>
      </c>
      <c r="C176" s="681">
        <v>128627</v>
      </c>
      <c r="D176" s="677">
        <v>36654</v>
      </c>
      <c r="E176" s="677">
        <v>53240</v>
      </c>
      <c r="F176" s="682"/>
      <c r="G176" s="677"/>
      <c r="H176" s="674">
        <f>SUM(C176:G176)</f>
        <v>218521</v>
      </c>
      <c r="I176" s="676"/>
      <c r="J176" s="675"/>
      <c r="K176" s="675"/>
      <c r="L176" s="674">
        <f>SUM(I176:K176)</f>
        <v>0</v>
      </c>
      <c r="M176" s="673">
        <f>SUM(H176+L176)</f>
        <v>218521</v>
      </c>
      <c r="N176" s="673"/>
      <c r="O176" s="673">
        <f>SUM(M176+N176)</f>
        <v>218521</v>
      </c>
    </row>
    <row r="177" spans="1:15" s="685" customFormat="1" x14ac:dyDescent="0.25">
      <c r="A177" s="694"/>
      <c r="B177" s="680" t="s">
        <v>1151</v>
      </c>
      <c r="C177" s="712">
        <v>127717</v>
      </c>
      <c r="D177" s="692">
        <v>36340</v>
      </c>
      <c r="E177" s="692">
        <v>53185</v>
      </c>
      <c r="F177" s="703"/>
      <c r="G177" s="692"/>
      <c r="H177" s="687">
        <f>SUM(C177:G177)</f>
        <v>217242</v>
      </c>
      <c r="I177" s="689"/>
      <c r="J177" s="688"/>
      <c r="K177" s="688"/>
      <c r="L177" s="687">
        <f>SUM(I177:K177)</f>
        <v>0</v>
      </c>
      <c r="M177" s="686">
        <f>SUM(H177+L177)</f>
        <v>217242</v>
      </c>
      <c r="N177" s="686"/>
      <c r="O177" s="686">
        <f>SUM(M177+N177)</f>
        <v>217242</v>
      </c>
    </row>
    <row r="178" spans="1:15" s="685" customFormat="1" x14ac:dyDescent="0.25">
      <c r="A178" s="694"/>
      <c r="B178" s="680" t="s">
        <v>737</v>
      </c>
      <c r="C178" s="712">
        <v>910</v>
      </c>
      <c r="D178" s="692">
        <v>314</v>
      </c>
      <c r="E178" s="692">
        <v>55</v>
      </c>
      <c r="F178" s="703"/>
      <c r="G178" s="692"/>
      <c r="H178" s="687">
        <f>SUM(C178:G178)</f>
        <v>1279</v>
      </c>
      <c r="I178" s="689"/>
      <c r="J178" s="688"/>
      <c r="K178" s="688"/>
      <c r="L178" s="687">
        <f>SUM(I178:K178)</f>
        <v>0</v>
      </c>
      <c r="M178" s="686">
        <f>SUM(H178+L178)</f>
        <v>1279</v>
      </c>
      <c r="N178" s="686"/>
      <c r="O178" s="686">
        <f>SUM(M178+N178)</f>
        <v>1279</v>
      </c>
    </row>
    <row r="179" spans="1:15" s="685" customFormat="1" x14ac:dyDescent="0.25">
      <c r="A179" s="694"/>
      <c r="B179" s="680" t="s">
        <v>178</v>
      </c>
      <c r="C179" s="712"/>
      <c r="D179" s="692"/>
      <c r="E179" s="692"/>
      <c r="F179" s="703"/>
      <c r="G179" s="692"/>
      <c r="H179" s="687"/>
      <c r="I179" s="689"/>
      <c r="J179" s="688"/>
      <c r="K179" s="688"/>
      <c r="L179" s="687"/>
      <c r="M179" s="686"/>
      <c r="N179" s="686"/>
      <c r="O179" s="686"/>
    </row>
    <row r="180" spans="1:15" s="685" customFormat="1" x14ac:dyDescent="0.25">
      <c r="A180" s="694"/>
      <c r="B180" s="637" t="s">
        <v>1110</v>
      </c>
      <c r="C180" s="732">
        <v>50</v>
      </c>
      <c r="D180" s="730">
        <v>14</v>
      </c>
      <c r="E180" s="692"/>
      <c r="F180" s="703"/>
      <c r="G180" s="692"/>
      <c r="H180" s="727">
        <f t="shared" ref="H180:H184" si="100">SUM(C180:G180)</f>
        <v>64</v>
      </c>
      <c r="I180" s="761"/>
      <c r="J180" s="731"/>
      <c r="K180" s="731"/>
      <c r="L180" s="727">
        <f t="shared" ref="L180:L184" si="101">SUM(I180:K180)</f>
        <v>0</v>
      </c>
      <c r="M180" s="726">
        <f t="shared" ref="M180:M184" si="102">SUM(H180+L180)</f>
        <v>64</v>
      </c>
      <c r="N180" s="726"/>
      <c r="O180" s="726">
        <f t="shared" ref="O180:O184" si="103">SUM(M180+N180)</f>
        <v>64</v>
      </c>
    </row>
    <row r="181" spans="1:15" s="685" customFormat="1" x14ac:dyDescent="0.25">
      <c r="A181" s="713"/>
      <c r="B181" s="638" t="s">
        <v>942</v>
      </c>
      <c r="C181" s="732">
        <v>2306</v>
      </c>
      <c r="D181" s="730">
        <v>622</v>
      </c>
      <c r="E181" s="730"/>
      <c r="F181" s="688"/>
      <c r="G181" s="692"/>
      <c r="H181" s="727">
        <f t="shared" si="100"/>
        <v>2928</v>
      </c>
      <c r="I181" s="761"/>
      <c r="J181" s="731"/>
      <c r="K181" s="731"/>
      <c r="L181" s="727">
        <f t="shared" si="101"/>
        <v>0</v>
      </c>
      <c r="M181" s="727">
        <f t="shared" si="102"/>
        <v>2928</v>
      </c>
      <c r="N181" s="727"/>
      <c r="O181" s="727">
        <f t="shared" si="103"/>
        <v>2928</v>
      </c>
    </row>
    <row r="182" spans="1:15" s="685" customFormat="1" ht="31.5" x14ac:dyDescent="0.25">
      <c r="A182" s="713"/>
      <c r="B182" s="638" t="s">
        <v>941</v>
      </c>
      <c r="C182" s="732">
        <v>811</v>
      </c>
      <c r="D182" s="730">
        <v>219</v>
      </c>
      <c r="E182" s="730"/>
      <c r="F182" s="688"/>
      <c r="G182" s="692"/>
      <c r="H182" s="727">
        <f t="shared" si="100"/>
        <v>1030</v>
      </c>
      <c r="I182" s="761"/>
      <c r="J182" s="731"/>
      <c r="K182" s="731"/>
      <c r="L182" s="727">
        <f t="shared" si="101"/>
        <v>0</v>
      </c>
      <c r="M182" s="727">
        <f t="shared" si="102"/>
        <v>1030</v>
      </c>
      <c r="N182" s="727"/>
      <c r="O182" s="727">
        <f t="shared" si="103"/>
        <v>1030</v>
      </c>
    </row>
    <row r="183" spans="1:15" x14ac:dyDescent="0.25">
      <c r="A183" s="694"/>
      <c r="B183" s="680" t="s">
        <v>179</v>
      </c>
      <c r="C183" s="712"/>
      <c r="D183" s="692"/>
      <c r="E183" s="692"/>
      <c r="F183" s="703"/>
      <c r="G183" s="692"/>
      <c r="H183" s="727"/>
      <c r="I183" s="761"/>
      <c r="J183" s="731"/>
      <c r="K183" s="731"/>
      <c r="L183" s="727"/>
      <c r="M183" s="726"/>
      <c r="N183" s="726"/>
      <c r="O183" s="726"/>
    </row>
    <row r="184" spans="1:15" ht="16.5" thickBot="1" x14ac:dyDescent="0.3">
      <c r="A184" s="694"/>
      <c r="B184" s="637" t="s">
        <v>1111</v>
      </c>
      <c r="C184" s="732">
        <v>601</v>
      </c>
      <c r="D184" s="730">
        <v>208</v>
      </c>
      <c r="E184" s="730"/>
      <c r="F184" s="703"/>
      <c r="G184" s="692"/>
      <c r="H184" s="727">
        <f t="shared" si="100"/>
        <v>809</v>
      </c>
      <c r="I184" s="761"/>
      <c r="J184" s="731"/>
      <c r="K184" s="731"/>
      <c r="L184" s="727">
        <f t="shared" si="101"/>
        <v>0</v>
      </c>
      <c r="M184" s="726">
        <f t="shared" si="102"/>
        <v>809</v>
      </c>
      <c r="N184" s="726"/>
      <c r="O184" s="726">
        <f t="shared" si="103"/>
        <v>809</v>
      </c>
    </row>
    <row r="185" spans="1:15" ht="17.25" thickTop="1" thickBot="1" x14ac:dyDescent="0.3">
      <c r="A185" s="660"/>
      <c r="B185" s="659" t="s">
        <v>736</v>
      </c>
      <c r="C185" s="658">
        <f>+C176+C180+C181+C182+C184</f>
        <v>132395</v>
      </c>
      <c r="D185" s="658">
        <f t="shared" ref="D185:O185" si="104">+D176+D180+D181+D182+D184</f>
        <v>37717</v>
      </c>
      <c r="E185" s="658">
        <f t="shared" si="104"/>
        <v>53240</v>
      </c>
      <c r="F185" s="658">
        <f t="shared" si="104"/>
        <v>0</v>
      </c>
      <c r="G185" s="658">
        <f t="shared" si="104"/>
        <v>0</v>
      </c>
      <c r="H185" s="658">
        <f t="shared" si="104"/>
        <v>223352</v>
      </c>
      <c r="I185" s="658">
        <f t="shared" si="104"/>
        <v>0</v>
      </c>
      <c r="J185" s="658">
        <f t="shared" si="104"/>
        <v>0</v>
      </c>
      <c r="K185" s="658">
        <f t="shared" si="104"/>
        <v>0</v>
      </c>
      <c r="L185" s="658">
        <f t="shared" si="104"/>
        <v>0</v>
      </c>
      <c r="M185" s="658">
        <f t="shared" si="104"/>
        <v>223352</v>
      </c>
      <c r="N185" s="658">
        <f t="shared" si="104"/>
        <v>0</v>
      </c>
      <c r="O185" s="658">
        <f t="shared" si="104"/>
        <v>223352</v>
      </c>
    </row>
    <row r="186" spans="1:15" ht="17.25" thickTop="1" thickBot="1" x14ac:dyDescent="0.3">
      <c r="A186" s="660"/>
      <c r="B186" s="659" t="s">
        <v>735</v>
      </c>
      <c r="C186" s="658">
        <f>+C177+C180+C181+C182</f>
        <v>130884</v>
      </c>
      <c r="D186" s="658">
        <f t="shared" ref="D186:O186" si="105">+D177+D180+D181+D182</f>
        <v>37195</v>
      </c>
      <c r="E186" s="658">
        <f t="shared" si="105"/>
        <v>53185</v>
      </c>
      <c r="F186" s="658">
        <f t="shared" si="105"/>
        <v>0</v>
      </c>
      <c r="G186" s="658">
        <f t="shared" si="105"/>
        <v>0</v>
      </c>
      <c r="H186" s="658">
        <f t="shared" si="105"/>
        <v>221264</v>
      </c>
      <c r="I186" s="658">
        <f t="shared" si="105"/>
        <v>0</v>
      </c>
      <c r="J186" s="658">
        <f t="shared" si="105"/>
        <v>0</v>
      </c>
      <c r="K186" s="658">
        <f t="shared" si="105"/>
        <v>0</v>
      </c>
      <c r="L186" s="658">
        <f t="shared" si="105"/>
        <v>0</v>
      </c>
      <c r="M186" s="658">
        <f t="shared" si="105"/>
        <v>221264</v>
      </c>
      <c r="N186" s="658">
        <f t="shared" si="105"/>
        <v>0</v>
      </c>
      <c r="O186" s="658">
        <f t="shared" si="105"/>
        <v>221264</v>
      </c>
    </row>
    <row r="187" spans="1:15" ht="17.25" thickTop="1" thickBot="1" x14ac:dyDescent="0.3">
      <c r="A187" s="660"/>
      <c r="B187" s="659" t="s">
        <v>734</v>
      </c>
      <c r="C187" s="658">
        <f>+C178+C184</f>
        <v>1511</v>
      </c>
      <c r="D187" s="658">
        <f t="shared" ref="D187:O187" si="106">+D178+D184</f>
        <v>522</v>
      </c>
      <c r="E187" s="658">
        <f t="shared" si="106"/>
        <v>55</v>
      </c>
      <c r="F187" s="658">
        <f t="shared" si="106"/>
        <v>0</v>
      </c>
      <c r="G187" s="658">
        <f t="shared" si="106"/>
        <v>0</v>
      </c>
      <c r="H187" s="658">
        <f t="shared" si="106"/>
        <v>2088</v>
      </c>
      <c r="I187" s="658">
        <f t="shared" si="106"/>
        <v>0</v>
      </c>
      <c r="J187" s="658">
        <f t="shared" si="106"/>
        <v>0</v>
      </c>
      <c r="K187" s="658">
        <f t="shared" si="106"/>
        <v>0</v>
      </c>
      <c r="L187" s="658">
        <f t="shared" si="106"/>
        <v>0</v>
      </c>
      <c r="M187" s="658">
        <f t="shared" si="106"/>
        <v>2088</v>
      </c>
      <c r="N187" s="658">
        <f t="shared" si="106"/>
        <v>0</v>
      </c>
      <c r="O187" s="658">
        <f t="shared" si="106"/>
        <v>2088</v>
      </c>
    </row>
    <row r="188" spans="1:15" s="685" customFormat="1" ht="16.5" thickTop="1" x14ac:dyDescent="0.25">
      <c r="A188" s="679" t="s">
        <v>6</v>
      </c>
      <c r="B188" s="636" t="s">
        <v>759</v>
      </c>
      <c r="C188" s="681"/>
      <c r="D188" s="677"/>
      <c r="E188" s="677"/>
      <c r="F188" s="682"/>
      <c r="G188" s="677"/>
      <c r="H188" s="674"/>
      <c r="I188" s="676"/>
      <c r="J188" s="675"/>
      <c r="K188" s="675"/>
      <c r="L188" s="674"/>
      <c r="M188" s="674"/>
      <c r="N188" s="674"/>
      <c r="O188" s="674"/>
    </row>
    <row r="189" spans="1:15" s="685" customFormat="1" x14ac:dyDescent="0.25">
      <c r="A189" s="684"/>
      <c r="B189" s="636" t="s">
        <v>653</v>
      </c>
      <c r="C189" s="681">
        <v>139083</v>
      </c>
      <c r="D189" s="677">
        <v>39537</v>
      </c>
      <c r="E189" s="677">
        <v>67147</v>
      </c>
      <c r="F189" s="675"/>
      <c r="G189" s="677"/>
      <c r="H189" s="674">
        <f>SUM(C189:G189)</f>
        <v>245767</v>
      </c>
      <c r="I189" s="676"/>
      <c r="J189" s="675"/>
      <c r="K189" s="675"/>
      <c r="L189" s="674">
        <f>SUM(I189:K189)</f>
        <v>0</v>
      </c>
      <c r="M189" s="673">
        <f>SUM(H189+L189)</f>
        <v>245767</v>
      </c>
      <c r="N189" s="673"/>
      <c r="O189" s="673">
        <f>SUM(M189+N189)</f>
        <v>245767</v>
      </c>
    </row>
    <row r="190" spans="1:15" x14ac:dyDescent="0.25">
      <c r="A190" s="713"/>
      <c r="B190" s="680" t="s">
        <v>1151</v>
      </c>
      <c r="C190" s="712">
        <v>138167</v>
      </c>
      <c r="D190" s="692">
        <v>39220</v>
      </c>
      <c r="E190" s="692">
        <v>66942</v>
      </c>
      <c r="F190" s="688"/>
      <c r="G190" s="692"/>
      <c r="H190" s="687">
        <f>SUM(C190:G190)</f>
        <v>244329</v>
      </c>
      <c r="I190" s="689"/>
      <c r="J190" s="688"/>
      <c r="K190" s="688"/>
      <c r="L190" s="687">
        <f>SUM(I190:K190)</f>
        <v>0</v>
      </c>
      <c r="M190" s="686">
        <f>SUM(H190+L190)</f>
        <v>244329</v>
      </c>
      <c r="N190" s="686"/>
      <c r="O190" s="686">
        <f>SUM(M190+N190)</f>
        <v>244329</v>
      </c>
    </row>
    <row r="191" spans="1:15" x14ac:dyDescent="0.25">
      <c r="A191" s="713"/>
      <c r="B191" s="680" t="s">
        <v>737</v>
      </c>
      <c r="C191" s="712">
        <v>916</v>
      </c>
      <c r="D191" s="692">
        <v>317</v>
      </c>
      <c r="E191" s="692">
        <v>205</v>
      </c>
      <c r="F191" s="688"/>
      <c r="G191" s="692"/>
      <c r="H191" s="687">
        <f>SUM(C191:G191)</f>
        <v>1438</v>
      </c>
      <c r="I191" s="689"/>
      <c r="J191" s="688"/>
      <c r="K191" s="688"/>
      <c r="L191" s="687">
        <f>SUM(I191:K191)</f>
        <v>0</v>
      </c>
      <c r="M191" s="686">
        <f>SUM(H191+L191)</f>
        <v>1438</v>
      </c>
      <c r="N191" s="686"/>
      <c r="O191" s="686">
        <f>SUM(M191+N191)</f>
        <v>1438</v>
      </c>
    </row>
    <row r="192" spans="1:15" s="685" customFormat="1" x14ac:dyDescent="0.25">
      <c r="A192" s="713"/>
      <c r="B192" s="680" t="s">
        <v>178</v>
      </c>
      <c r="C192" s="712"/>
      <c r="D192" s="692"/>
      <c r="E192" s="692"/>
      <c r="F192" s="688"/>
      <c r="G192" s="692"/>
      <c r="H192" s="687"/>
      <c r="I192" s="689"/>
      <c r="J192" s="688"/>
      <c r="K192" s="688"/>
      <c r="L192" s="687"/>
      <c r="M192" s="686"/>
      <c r="N192" s="686"/>
      <c r="O192" s="686"/>
    </row>
    <row r="193" spans="1:15" s="685" customFormat="1" x14ac:dyDescent="0.25">
      <c r="A193" s="713"/>
      <c r="B193" s="637" t="s">
        <v>1110</v>
      </c>
      <c r="C193" s="732">
        <v>96</v>
      </c>
      <c r="D193" s="730">
        <v>26</v>
      </c>
      <c r="E193" s="692"/>
      <c r="F193" s="688"/>
      <c r="G193" s="692"/>
      <c r="H193" s="727">
        <f t="shared" ref="H193:H196" si="107">SUM(C193:G193)</f>
        <v>122</v>
      </c>
      <c r="I193" s="761"/>
      <c r="J193" s="731"/>
      <c r="K193" s="731"/>
      <c r="L193" s="727">
        <f t="shared" ref="L193:L196" si="108">SUM(I193:K193)</f>
        <v>0</v>
      </c>
      <c r="M193" s="726">
        <f t="shared" ref="M193:M196" si="109">SUM(H193+L193)</f>
        <v>122</v>
      </c>
      <c r="N193" s="726"/>
      <c r="O193" s="726">
        <f t="shared" ref="O193:O196" si="110">SUM(M193+N193)</f>
        <v>122</v>
      </c>
    </row>
    <row r="194" spans="1:15" s="685" customFormat="1" ht="31.5" x14ac:dyDescent="0.25">
      <c r="A194" s="713"/>
      <c r="B194" s="637" t="s">
        <v>941</v>
      </c>
      <c r="C194" s="732">
        <v>338</v>
      </c>
      <c r="D194" s="730">
        <v>91</v>
      </c>
      <c r="E194" s="730"/>
      <c r="F194" s="688"/>
      <c r="G194" s="692"/>
      <c r="H194" s="727">
        <f t="shared" si="107"/>
        <v>429</v>
      </c>
      <c r="I194" s="761"/>
      <c r="J194" s="731"/>
      <c r="K194" s="731"/>
      <c r="L194" s="727">
        <f t="shared" si="108"/>
        <v>0</v>
      </c>
      <c r="M194" s="726">
        <f t="shared" si="109"/>
        <v>429</v>
      </c>
      <c r="N194" s="726"/>
      <c r="O194" s="726">
        <f t="shared" si="110"/>
        <v>429</v>
      </c>
    </row>
    <row r="195" spans="1:15" s="685" customFormat="1" x14ac:dyDescent="0.25">
      <c r="A195" s="713"/>
      <c r="B195" s="680" t="s">
        <v>179</v>
      </c>
      <c r="C195" s="712"/>
      <c r="D195" s="692"/>
      <c r="E195" s="692"/>
      <c r="F195" s="688"/>
      <c r="G195" s="692"/>
      <c r="H195" s="727"/>
      <c r="I195" s="761"/>
      <c r="J195" s="731"/>
      <c r="K195" s="731"/>
      <c r="L195" s="727"/>
      <c r="M195" s="726"/>
      <c r="N195" s="726"/>
      <c r="O195" s="726"/>
    </row>
    <row r="196" spans="1:15" s="685" customFormat="1" ht="16.5" thickBot="1" x14ac:dyDescent="0.3">
      <c r="A196" s="713"/>
      <c r="B196" s="637" t="s">
        <v>1111</v>
      </c>
      <c r="C196" s="732">
        <v>609</v>
      </c>
      <c r="D196" s="730">
        <v>210</v>
      </c>
      <c r="E196" s="730"/>
      <c r="F196" s="688"/>
      <c r="G196" s="692"/>
      <c r="H196" s="727">
        <f t="shared" si="107"/>
        <v>819</v>
      </c>
      <c r="I196" s="761"/>
      <c r="J196" s="731"/>
      <c r="K196" s="731"/>
      <c r="L196" s="727">
        <f t="shared" si="108"/>
        <v>0</v>
      </c>
      <c r="M196" s="726">
        <f t="shared" si="109"/>
        <v>819</v>
      </c>
      <c r="N196" s="726"/>
      <c r="O196" s="726">
        <f t="shared" si="110"/>
        <v>819</v>
      </c>
    </row>
    <row r="197" spans="1:15" s="685" customFormat="1" ht="17.25" thickTop="1" thickBot="1" x14ac:dyDescent="0.3">
      <c r="A197" s="660"/>
      <c r="B197" s="659" t="s">
        <v>736</v>
      </c>
      <c r="C197" s="658">
        <f>+C189+C193+C194+C196</f>
        <v>140126</v>
      </c>
      <c r="D197" s="658">
        <f t="shared" ref="D197:O197" si="111">+D189+D193+D194+D196</f>
        <v>39864</v>
      </c>
      <c r="E197" s="658">
        <f t="shared" si="111"/>
        <v>67147</v>
      </c>
      <c r="F197" s="658">
        <f t="shared" si="111"/>
        <v>0</v>
      </c>
      <c r="G197" s="658">
        <f t="shared" si="111"/>
        <v>0</v>
      </c>
      <c r="H197" s="658">
        <f t="shared" si="111"/>
        <v>247137</v>
      </c>
      <c r="I197" s="658">
        <f t="shared" si="111"/>
        <v>0</v>
      </c>
      <c r="J197" s="658">
        <f t="shared" si="111"/>
        <v>0</v>
      </c>
      <c r="K197" s="658">
        <f t="shared" si="111"/>
        <v>0</v>
      </c>
      <c r="L197" s="658">
        <f t="shared" si="111"/>
        <v>0</v>
      </c>
      <c r="M197" s="658">
        <f t="shared" si="111"/>
        <v>247137</v>
      </c>
      <c r="N197" s="658">
        <f t="shared" si="111"/>
        <v>0</v>
      </c>
      <c r="O197" s="658">
        <f t="shared" si="111"/>
        <v>247137</v>
      </c>
    </row>
    <row r="198" spans="1:15" s="685" customFormat="1" ht="17.25" thickTop="1" thickBot="1" x14ac:dyDescent="0.3">
      <c r="A198" s="660"/>
      <c r="B198" s="659" t="s">
        <v>735</v>
      </c>
      <c r="C198" s="658">
        <f>+C190+C193+C194</f>
        <v>138601</v>
      </c>
      <c r="D198" s="658">
        <f t="shared" ref="D198:O198" si="112">+D190+D193+D194</f>
        <v>39337</v>
      </c>
      <c r="E198" s="658">
        <f t="shared" si="112"/>
        <v>66942</v>
      </c>
      <c r="F198" s="658">
        <f t="shared" si="112"/>
        <v>0</v>
      </c>
      <c r="G198" s="658">
        <f t="shared" si="112"/>
        <v>0</v>
      </c>
      <c r="H198" s="658">
        <f t="shared" si="112"/>
        <v>244880</v>
      </c>
      <c r="I198" s="658">
        <f t="shared" si="112"/>
        <v>0</v>
      </c>
      <c r="J198" s="658">
        <f t="shared" si="112"/>
        <v>0</v>
      </c>
      <c r="K198" s="658">
        <f t="shared" si="112"/>
        <v>0</v>
      </c>
      <c r="L198" s="658">
        <f t="shared" si="112"/>
        <v>0</v>
      </c>
      <c r="M198" s="658">
        <f t="shared" si="112"/>
        <v>244880</v>
      </c>
      <c r="N198" s="658">
        <f t="shared" si="112"/>
        <v>0</v>
      </c>
      <c r="O198" s="658">
        <f t="shared" si="112"/>
        <v>244880</v>
      </c>
    </row>
    <row r="199" spans="1:15" ht="17.25" thickTop="1" thickBot="1" x14ac:dyDescent="0.3">
      <c r="A199" s="660"/>
      <c r="B199" s="659" t="s">
        <v>734</v>
      </c>
      <c r="C199" s="658">
        <f>+C191+C196</f>
        <v>1525</v>
      </c>
      <c r="D199" s="658">
        <f t="shared" ref="D199:O199" si="113">+D191+D196</f>
        <v>527</v>
      </c>
      <c r="E199" s="658">
        <f t="shared" si="113"/>
        <v>205</v>
      </c>
      <c r="F199" s="658">
        <f t="shared" si="113"/>
        <v>0</v>
      </c>
      <c r="G199" s="658">
        <f t="shared" si="113"/>
        <v>0</v>
      </c>
      <c r="H199" s="658">
        <f t="shared" si="113"/>
        <v>2257</v>
      </c>
      <c r="I199" s="658">
        <f t="shared" si="113"/>
        <v>0</v>
      </c>
      <c r="J199" s="658">
        <f t="shared" si="113"/>
        <v>0</v>
      </c>
      <c r="K199" s="658">
        <f t="shared" si="113"/>
        <v>0</v>
      </c>
      <c r="L199" s="658">
        <f t="shared" si="113"/>
        <v>0</v>
      </c>
      <c r="M199" s="658">
        <f t="shared" si="113"/>
        <v>2257</v>
      </c>
      <c r="N199" s="658">
        <f t="shared" si="113"/>
        <v>0</v>
      </c>
      <c r="O199" s="658">
        <f t="shared" si="113"/>
        <v>2257</v>
      </c>
    </row>
    <row r="200" spans="1:15" ht="16.5" thickTop="1" x14ac:dyDescent="0.25">
      <c r="A200" s="679" t="s">
        <v>7</v>
      </c>
      <c r="B200" s="636" t="s">
        <v>758</v>
      </c>
      <c r="C200" s="681"/>
      <c r="D200" s="677"/>
      <c r="E200" s="677"/>
      <c r="F200" s="682"/>
      <c r="G200" s="677"/>
      <c r="H200" s="674"/>
      <c r="I200" s="676"/>
      <c r="J200" s="675"/>
      <c r="K200" s="675"/>
      <c r="L200" s="674"/>
      <c r="M200" s="674"/>
      <c r="N200" s="674"/>
      <c r="O200" s="674"/>
    </row>
    <row r="201" spans="1:15" x14ac:dyDescent="0.25">
      <c r="A201" s="679"/>
      <c r="B201" s="627" t="s">
        <v>653</v>
      </c>
      <c r="C201" s="681">
        <v>46461</v>
      </c>
      <c r="D201" s="677">
        <v>12461</v>
      </c>
      <c r="E201" s="677">
        <v>16305</v>
      </c>
      <c r="F201" s="682"/>
      <c r="G201" s="677"/>
      <c r="H201" s="674">
        <f>SUM(C201:G201)</f>
        <v>75227</v>
      </c>
      <c r="I201" s="676"/>
      <c r="J201" s="675"/>
      <c r="K201" s="675"/>
      <c r="L201" s="674">
        <f>SUM(I201:K201)</f>
        <v>0</v>
      </c>
      <c r="M201" s="673">
        <f>SUM(H201+L201)</f>
        <v>75227</v>
      </c>
      <c r="N201" s="673"/>
      <c r="O201" s="673">
        <f>SUM(M201+N201)</f>
        <v>75227</v>
      </c>
    </row>
    <row r="202" spans="1:15" x14ac:dyDescent="0.25">
      <c r="A202" s="694"/>
      <c r="B202" s="680" t="s">
        <v>1151</v>
      </c>
      <c r="C202" s="712">
        <v>46127</v>
      </c>
      <c r="D202" s="692">
        <v>12346</v>
      </c>
      <c r="E202" s="692">
        <v>16250</v>
      </c>
      <c r="F202" s="703"/>
      <c r="G202" s="692"/>
      <c r="H202" s="687">
        <f>SUM(C202:G202)</f>
        <v>74723</v>
      </c>
      <c r="I202" s="689"/>
      <c r="J202" s="688"/>
      <c r="K202" s="688"/>
      <c r="L202" s="687">
        <f>SUM(I202:K202)</f>
        <v>0</v>
      </c>
      <c r="M202" s="686">
        <f>SUM(H202+L202)</f>
        <v>74723</v>
      </c>
      <c r="N202" s="686"/>
      <c r="O202" s="686">
        <f>SUM(M202+N202)</f>
        <v>74723</v>
      </c>
    </row>
    <row r="203" spans="1:15" x14ac:dyDescent="0.25">
      <c r="A203" s="694"/>
      <c r="B203" s="680" t="s">
        <v>737</v>
      </c>
      <c r="C203" s="712">
        <v>334</v>
      </c>
      <c r="D203" s="692">
        <v>115</v>
      </c>
      <c r="E203" s="692">
        <v>55</v>
      </c>
      <c r="F203" s="703"/>
      <c r="G203" s="692"/>
      <c r="H203" s="687">
        <f>SUM(C203:G203)</f>
        <v>504</v>
      </c>
      <c r="I203" s="689"/>
      <c r="J203" s="688"/>
      <c r="K203" s="688"/>
      <c r="L203" s="687">
        <f>SUM(I203:K203)</f>
        <v>0</v>
      </c>
      <c r="M203" s="686">
        <f>SUM(H203+L203)</f>
        <v>504</v>
      </c>
      <c r="N203" s="686"/>
      <c r="O203" s="686">
        <f>SUM(M203+N203)</f>
        <v>504</v>
      </c>
    </row>
    <row r="204" spans="1:15" s="685" customFormat="1" x14ac:dyDescent="0.25">
      <c r="A204" s="694"/>
      <c r="B204" s="680" t="s">
        <v>178</v>
      </c>
      <c r="C204" s="712"/>
      <c r="D204" s="692"/>
      <c r="E204" s="692"/>
      <c r="F204" s="703"/>
      <c r="G204" s="692"/>
      <c r="H204" s="687"/>
      <c r="I204" s="689"/>
      <c r="J204" s="688"/>
      <c r="K204" s="688"/>
      <c r="L204" s="687"/>
      <c r="M204" s="686"/>
      <c r="N204" s="686"/>
      <c r="O204" s="686"/>
    </row>
    <row r="205" spans="1:15" s="685" customFormat="1" x14ac:dyDescent="0.25">
      <c r="A205" s="694"/>
      <c r="B205" s="637" t="s">
        <v>1110</v>
      </c>
      <c r="C205" s="732">
        <v>31</v>
      </c>
      <c r="D205" s="730">
        <v>8</v>
      </c>
      <c r="E205" s="692"/>
      <c r="F205" s="703"/>
      <c r="G205" s="692"/>
      <c r="H205" s="727">
        <f t="shared" ref="H205:H207" si="114">SUM(C205:G205)</f>
        <v>39</v>
      </c>
      <c r="I205" s="761"/>
      <c r="J205" s="731"/>
      <c r="K205" s="731"/>
      <c r="L205" s="727">
        <f t="shared" ref="L205:L207" si="115">SUM(I205:K205)</f>
        <v>0</v>
      </c>
      <c r="M205" s="726">
        <f t="shared" ref="M205:M207" si="116">SUM(H205+L205)</f>
        <v>39</v>
      </c>
      <c r="N205" s="726"/>
      <c r="O205" s="726">
        <f t="shared" ref="O205:O207" si="117">SUM(M205+N205)</f>
        <v>39</v>
      </c>
    </row>
    <row r="206" spans="1:15" s="685" customFormat="1" x14ac:dyDescent="0.25">
      <c r="A206" s="694"/>
      <c r="B206" s="680" t="s">
        <v>179</v>
      </c>
      <c r="C206" s="712"/>
      <c r="D206" s="692"/>
      <c r="E206" s="692"/>
      <c r="F206" s="703"/>
      <c r="G206" s="692"/>
      <c r="H206" s="727"/>
      <c r="I206" s="761"/>
      <c r="J206" s="731"/>
      <c r="K206" s="731"/>
      <c r="L206" s="727"/>
      <c r="M206" s="726"/>
      <c r="N206" s="726"/>
      <c r="O206" s="726"/>
    </row>
    <row r="207" spans="1:15" s="685" customFormat="1" ht="16.5" thickBot="1" x14ac:dyDescent="0.3">
      <c r="A207" s="694"/>
      <c r="B207" s="637" t="s">
        <v>1111</v>
      </c>
      <c r="C207" s="732">
        <v>218</v>
      </c>
      <c r="D207" s="730">
        <v>75</v>
      </c>
      <c r="E207" s="730"/>
      <c r="F207" s="703"/>
      <c r="G207" s="692"/>
      <c r="H207" s="727">
        <f t="shared" si="114"/>
        <v>293</v>
      </c>
      <c r="I207" s="761"/>
      <c r="J207" s="731"/>
      <c r="K207" s="731"/>
      <c r="L207" s="727">
        <f t="shared" si="115"/>
        <v>0</v>
      </c>
      <c r="M207" s="726">
        <f t="shared" si="116"/>
        <v>293</v>
      </c>
      <c r="N207" s="726"/>
      <c r="O207" s="726">
        <f t="shared" si="117"/>
        <v>293</v>
      </c>
    </row>
    <row r="208" spans="1:15" s="685" customFormat="1" ht="17.25" thickTop="1" thickBot="1" x14ac:dyDescent="0.3">
      <c r="A208" s="660"/>
      <c r="B208" s="659" t="s">
        <v>736</v>
      </c>
      <c r="C208" s="658">
        <f>+C201+C205+C207</f>
        <v>46710</v>
      </c>
      <c r="D208" s="658">
        <f t="shared" ref="D208:O208" si="118">+D201+D205+D207</f>
        <v>12544</v>
      </c>
      <c r="E208" s="658">
        <f t="shared" si="118"/>
        <v>16305</v>
      </c>
      <c r="F208" s="658">
        <f t="shared" si="118"/>
        <v>0</v>
      </c>
      <c r="G208" s="658">
        <f t="shared" si="118"/>
        <v>0</v>
      </c>
      <c r="H208" s="658">
        <f t="shared" si="118"/>
        <v>75559</v>
      </c>
      <c r="I208" s="658">
        <f t="shared" si="118"/>
        <v>0</v>
      </c>
      <c r="J208" s="658">
        <f t="shared" si="118"/>
        <v>0</v>
      </c>
      <c r="K208" s="658">
        <f t="shared" si="118"/>
        <v>0</v>
      </c>
      <c r="L208" s="658">
        <f t="shared" si="118"/>
        <v>0</v>
      </c>
      <c r="M208" s="658">
        <f t="shared" si="118"/>
        <v>75559</v>
      </c>
      <c r="N208" s="658">
        <f t="shared" si="118"/>
        <v>0</v>
      </c>
      <c r="O208" s="658">
        <f t="shared" si="118"/>
        <v>75559</v>
      </c>
    </row>
    <row r="209" spans="1:15" s="685" customFormat="1" ht="17.25" thickTop="1" thickBot="1" x14ac:dyDescent="0.3">
      <c r="A209" s="660"/>
      <c r="B209" s="659" t="s">
        <v>735</v>
      </c>
      <c r="C209" s="658">
        <f>+C202+C205</f>
        <v>46158</v>
      </c>
      <c r="D209" s="658">
        <f t="shared" ref="D209:O209" si="119">+D202+D205</f>
        <v>12354</v>
      </c>
      <c r="E209" s="658">
        <f t="shared" si="119"/>
        <v>16250</v>
      </c>
      <c r="F209" s="658">
        <f t="shared" si="119"/>
        <v>0</v>
      </c>
      <c r="G209" s="658">
        <f t="shared" si="119"/>
        <v>0</v>
      </c>
      <c r="H209" s="658">
        <f t="shared" si="119"/>
        <v>74762</v>
      </c>
      <c r="I209" s="658">
        <f t="shared" si="119"/>
        <v>0</v>
      </c>
      <c r="J209" s="658">
        <f t="shared" si="119"/>
        <v>0</v>
      </c>
      <c r="K209" s="658">
        <f t="shared" si="119"/>
        <v>0</v>
      </c>
      <c r="L209" s="658">
        <f t="shared" si="119"/>
        <v>0</v>
      </c>
      <c r="M209" s="658">
        <f t="shared" si="119"/>
        <v>74762</v>
      </c>
      <c r="N209" s="658">
        <f t="shared" si="119"/>
        <v>0</v>
      </c>
      <c r="O209" s="658">
        <f t="shared" si="119"/>
        <v>74762</v>
      </c>
    </row>
    <row r="210" spans="1:15" s="685" customFormat="1" ht="17.25" thickTop="1" thickBot="1" x14ac:dyDescent="0.3">
      <c r="A210" s="660"/>
      <c r="B210" s="659" t="s">
        <v>734</v>
      </c>
      <c r="C210" s="658">
        <f>+C203+C207</f>
        <v>552</v>
      </c>
      <c r="D210" s="658">
        <f t="shared" ref="D210:O210" si="120">+D203+D207</f>
        <v>190</v>
      </c>
      <c r="E210" s="658">
        <f t="shared" si="120"/>
        <v>55</v>
      </c>
      <c r="F210" s="658">
        <f t="shared" si="120"/>
        <v>0</v>
      </c>
      <c r="G210" s="658">
        <f t="shared" si="120"/>
        <v>0</v>
      </c>
      <c r="H210" s="658">
        <f t="shared" si="120"/>
        <v>797</v>
      </c>
      <c r="I210" s="658">
        <f t="shared" si="120"/>
        <v>0</v>
      </c>
      <c r="J210" s="658">
        <f t="shared" si="120"/>
        <v>0</v>
      </c>
      <c r="K210" s="658">
        <f t="shared" si="120"/>
        <v>0</v>
      </c>
      <c r="L210" s="658">
        <f t="shared" si="120"/>
        <v>0</v>
      </c>
      <c r="M210" s="658">
        <f t="shared" si="120"/>
        <v>797</v>
      </c>
      <c r="N210" s="658">
        <f t="shared" si="120"/>
        <v>0</v>
      </c>
      <c r="O210" s="658">
        <f t="shared" si="120"/>
        <v>797</v>
      </c>
    </row>
    <row r="211" spans="1:15" s="685" customFormat="1" ht="16.5" thickTop="1" x14ac:dyDescent="0.25">
      <c r="A211" s="679" t="s">
        <v>8</v>
      </c>
      <c r="B211" s="636" t="s">
        <v>757</v>
      </c>
      <c r="C211" s="681"/>
      <c r="D211" s="677"/>
      <c r="E211" s="677"/>
      <c r="F211" s="682"/>
      <c r="G211" s="677"/>
      <c r="H211" s="674"/>
      <c r="I211" s="676"/>
      <c r="J211" s="675"/>
      <c r="K211" s="675"/>
      <c r="L211" s="674"/>
      <c r="M211" s="674"/>
      <c r="N211" s="674"/>
      <c r="O211" s="674"/>
    </row>
    <row r="212" spans="1:15" s="685" customFormat="1" x14ac:dyDescent="0.25">
      <c r="A212" s="684"/>
      <c r="B212" s="636" t="s">
        <v>653</v>
      </c>
      <c r="C212" s="681">
        <v>155203</v>
      </c>
      <c r="D212" s="677">
        <v>44186</v>
      </c>
      <c r="E212" s="677">
        <v>58394</v>
      </c>
      <c r="F212" s="675"/>
      <c r="G212" s="677"/>
      <c r="H212" s="674">
        <f>SUM(C212:G212)</f>
        <v>257783</v>
      </c>
      <c r="I212" s="676"/>
      <c r="J212" s="675"/>
      <c r="K212" s="675"/>
      <c r="L212" s="674">
        <f>SUM(I212:K212)</f>
        <v>0</v>
      </c>
      <c r="M212" s="673">
        <f>SUM(H212+L212)</f>
        <v>257783</v>
      </c>
      <c r="N212" s="673"/>
      <c r="O212" s="673">
        <f>SUM(M212+N212)</f>
        <v>257783</v>
      </c>
    </row>
    <row r="213" spans="1:15" s="685" customFormat="1" x14ac:dyDescent="0.25">
      <c r="A213" s="713"/>
      <c r="B213" s="680" t="s">
        <v>1151</v>
      </c>
      <c r="C213" s="712">
        <v>154051</v>
      </c>
      <c r="D213" s="692">
        <v>43789</v>
      </c>
      <c r="E213" s="692">
        <v>58339</v>
      </c>
      <c r="F213" s="688"/>
      <c r="G213" s="692"/>
      <c r="H213" s="687">
        <f>SUM(C213:G213)</f>
        <v>256179</v>
      </c>
      <c r="I213" s="689"/>
      <c r="J213" s="688"/>
      <c r="K213" s="688"/>
      <c r="L213" s="687">
        <f>SUM(I213:K213)</f>
        <v>0</v>
      </c>
      <c r="M213" s="686">
        <f>SUM(H213+L213)</f>
        <v>256179</v>
      </c>
      <c r="N213" s="686"/>
      <c r="O213" s="686">
        <f>SUM(M213+N213)</f>
        <v>256179</v>
      </c>
    </row>
    <row r="214" spans="1:15" x14ac:dyDescent="0.25">
      <c r="A214" s="713"/>
      <c r="B214" s="680" t="s">
        <v>737</v>
      </c>
      <c r="C214" s="712">
        <v>1152</v>
      </c>
      <c r="D214" s="692">
        <v>397</v>
      </c>
      <c r="E214" s="692">
        <v>55</v>
      </c>
      <c r="F214" s="688"/>
      <c r="G214" s="692"/>
      <c r="H214" s="687">
        <f>SUM(C214:G214)</f>
        <v>1604</v>
      </c>
      <c r="I214" s="689"/>
      <c r="J214" s="688"/>
      <c r="K214" s="688"/>
      <c r="L214" s="687">
        <f>SUM(I214:K214)</f>
        <v>0</v>
      </c>
      <c r="M214" s="686">
        <f>SUM(H214+L214)</f>
        <v>1604</v>
      </c>
      <c r="N214" s="686"/>
      <c r="O214" s="686">
        <f>SUM(M214+N214)</f>
        <v>1604</v>
      </c>
    </row>
    <row r="215" spans="1:15" x14ac:dyDescent="0.25">
      <c r="A215" s="713"/>
      <c r="B215" s="680" t="s">
        <v>178</v>
      </c>
      <c r="C215" s="712"/>
      <c r="D215" s="692"/>
      <c r="E215" s="692"/>
      <c r="F215" s="688"/>
      <c r="G215" s="692"/>
      <c r="H215" s="687"/>
      <c r="I215" s="689"/>
      <c r="J215" s="688"/>
      <c r="K215" s="688"/>
      <c r="L215" s="687"/>
      <c r="M215" s="686"/>
      <c r="N215" s="686"/>
      <c r="O215" s="686"/>
    </row>
    <row r="216" spans="1:15" x14ac:dyDescent="0.25">
      <c r="A216" s="713"/>
      <c r="B216" s="637" t="s">
        <v>1110</v>
      </c>
      <c r="C216" s="732">
        <v>21</v>
      </c>
      <c r="D216" s="730">
        <v>6</v>
      </c>
      <c r="E216" s="692"/>
      <c r="F216" s="688"/>
      <c r="G216" s="692"/>
      <c r="H216" s="727">
        <f t="shared" ref="H216:H218" si="121">SUM(C216:G216)</f>
        <v>27</v>
      </c>
      <c r="I216" s="761"/>
      <c r="J216" s="731"/>
      <c r="K216" s="731"/>
      <c r="L216" s="727">
        <f t="shared" ref="L216:L218" si="122">SUM(I216:K216)</f>
        <v>0</v>
      </c>
      <c r="M216" s="726">
        <f t="shared" ref="M216:M218" si="123">SUM(H216+L216)</f>
        <v>27</v>
      </c>
      <c r="N216" s="726"/>
      <c r="O216" s="726">
        <f t="shared" ref="O216:O218" si="124">SUM(M216+N216)</f>
        <v>27</v>
      </c>
    </row>
    <row r="217" spans="1:15" x14ac:dyDescent="0.25">
      <c r="A217" s="713"/>
      <c r="B217" s="683" t="s">
        <v>179</v>
      </c>
      <c r="C217" s="712"/>
      <c r="D217" s="692"/>
      <c r="E217" s="692"/>
      <c r="F217" s="688"/>
      <c r="G217" s="692"/>
      <c r="H217" s="727"/>
      <c r="I217" s="761"/>
      <c r="J217" s="731"/>
      <c r="K217" s="731"/>
      <c r="L217" s="727"/>
      <c r="M217" s="727"/>
      <c r="N217" s="727"/>
      <c r="O217" s="727"/>
    </row>
    <row r="218" spans="1:15" ht="16.5" thickBot="1" x14ac:dyDescent="0.3">
      <c r="A218" s="872"/>
      <c r="B218" s="864" t="s">
        <v>1111</v>
      </c>
      <c r="C218" s="866">
        <v>773</v>
      </c>
      <c r="D218" s="867">
        <v>266</v>
      </c>
      <c r="E218" s="867"/>
      <c r="F218" s="874"/>
      <c r="G218" s="873"/>
      <c r="H218" s="869">
        <f t="shared" si="121"/>
        <v>1039</v>
      </c>
      <c r="I218" s="870"/>
      <c r="J218" s="868"/>
      <c r="K218" s="868"/>
      <c r="L218" s="869">
        <f t="shared" si="122"/>
        <v>0</v>
      </c>
      <c r="M218" s="869">
        <f t="shared" si="123"/>
        <v>1039</v>
      </c>
      <c r="N218" s="869"/>
      <c r="O218" s="869">
        <f t="shared" si="124"/>
        <v>1039</v>
      </c>
    </row>
    <row r="219" spans="1:15" s="685" customFormat="1" ht="17.25" thickTop="1" thickBot="1" x14ac:dyDescent="0.3">
      <c r="A219" s="660"/>
      <c r="B219" s="659" t="s">
        <v>736</v>
      </c>
      <c r="C219" s="658">
        <f>+C212+C216+C218</f>
        <v>155997</v>
      </c>
      <c r="D219" s="658">
        <f t="shared" ref="D219:O219" si="125">+D212+D216+D218</f>
        <v>44458</v>
      </c>
      <c r="E219" s="658">
        <f t="shared" si="125"/>
        <v>58394</v>
      </c>
      <c r="F219" s="658">
        <f t="shared" si="125"/>
        <v>0</v>
      </c>
      <c r="G219" s="658">
        <f t="shared" si="125"/>
        <v>0</v>
      </c>
      <c r="H219" s="658">
        <f t="shared" si="125"/>
        <v>258849</v>
      </c>
      <c r="I219" s="658">
        <f t="shared" si="125"/>
        <v>0</v>
      </c>
      <c r="J219" s="658">
        <f t="shared" si="125"/>
        <v>0</v>
      </c>
      <c r="K219" s="658">
        <f t="shared" si="125"/>
        <v>0</v>
      </c>
      <c r="L219" s="658">
        <f t="shared" si="125"/>
        <v>0</v>
      </c>
      <c r="M219" s="658">
        <f t="shared" si="125"/>
        <v>258849</v>
      </c>
      <c r="N219" s="658">
        <f t="shared" si="125"/>
        <v>0</v>
      </c>
      <c r="O219" s="658">
        <f t="shared" si="125"/>
        <v>258849</v>
      </c>
    </row>
    <row r="220" spans="1:15" s="685" customFormat="1" ht="17.25" thickTop="1" thickBot="1" x14ac:dyDescent="0.3">
      <c r="A220" s="660"/>
      <c r="B220" s="659" t="s">
        <v>735</v>
      </c>
      <c r="C220" s="658">
        <f>+C213+C216</f>
        <v>154072</v>
      </c>
      <c r="D220" s="658">
        <f t="shared" ref="D220:O220" si="126">+D213+D216</f>
        <v>43795</v>
      </c>
      <c r="E220" s="658">
        <f t="shared" si="126"/>
        <v>58339</v>
      </c>
      <c r="F220" s="658">
        <f t="shared" si="126"/>
        <v>0</v>
      </c>
      <c r="G220" s="658">
        <f t="shared" si="126"/>
        <v>0</v>
      </c>
      <c r="H220" s="658">
        <f t="shared" si="126"/>
        <v>256206</v>
      </c>
      <c r="I220" s="658">
        <f t="shared" si="126"/>
        <v>0</v>
      </c>
      <c r="J220" s="658">
        <f t="shared" si="126"/>
        <v>0</v>
      </c>
      <c r="K220" s="658">
        <f t="shared" si="126"/>
        <v>0</v>
      </c>
      <c r="L220" s="658">
        <f t="shared" si="126"/>
        <v>0</v>
      </c>
      <c r="M220" s="658">
        <f t="shared" si="126"/>
        <v>256206</v>
      </c>
      <c r="N220" s="658">
        <f t="shared" si="126"/>
        <v>0</v>
      </c>
      <c r="O220" s="658">
        <f t="shared" si="126"/>
        <v>256206</v>
      </c>
    </row>
    <row r="221" spans="1:15" s="685" customFormat="1" ht="17.25" thickTop="1" thickBot="1" x14ac:dyDescent="0.3">
      <c r="A221" s="660"/>
      <c r="B221" s="659" t="s">
        <v>734</v>
      </c>
      <c r="C221" s="658">
        <f>+C214+C218</f>
        <v>1925</v>
      </c>
      <c r="D221" s="658">
        <f t="shared" ref="D221:O221" si="127">+D214+D218</f>
        <v>663</v>
      </c>
      <c r="E221" s="658">
        <f t="shared" si="127"/>
        <v>55</v>
      </c>
      <c r="F221" s="658">
        <f t="shared" si="127"/>
        <v>0</v>
      </c>
      <c r="G221" s="658">
        <f t="shared" si="127"/>
        <v>0</v>
      </c>
      <c r="H221" s="658">
        <f t="shared" si="127"/>
        <v>2643</v>
      </c>
      <c r="I221" s="658">
        <f t="shared" si="127"/>
        <v>0</v>
      </c>
      <c r="J221" s="658">
        <f t="shared" si="127"/>
        <v>0</v>
      </c>
      <c r="K221" s="658">
        <f t="shared" si="127"/>
        <v>0</v>
      </c>
      <c r="L221" s="658">
        <f t="shared" si="127"/>
        <v>0</v>
      </c>
      <c r="M221" s="658">
        <f t="shared" si="127"/>
        <v>2643</v>
      </c>
      <c r="N221" s="658">
        <f t="shared" si="127"/>
        <v>0</v>
      </c>
      <c r="O221" s="658">
        <f t="shared" si="127"/>
        <v>2643</v>
      </c>
    </row>
    <row r="222" spans="1:15" s="685" customFormat="1" ht="16.5" thickTop="1" x14ac:dyDescent="0.25">
      <c r="A222" s="679" t="s">
        <v>9</v>
      </c>
      <c r="B222" s="636" t="s">
        <v>756</v>
      </c>
      <c r="C222" s="681"/>
      <c r="D222" s="677"/>
      <c r="E222" s="677"/>
      <c r="F222" s="682"/>
      <c r="G222" s="677"/>
      <c r="H222" s="674"/>
      <c r="I222" s="676"/>
      <c r="J222" s="675"/>
      <c r="K222" s="675"/>
      <c r="L222" s="674"/>
      <c r="M222" s="674"/>
      <c r="N222" s="674"/>
      <c r="O222" s="674"/>
    </row>
    <row r="223" spans="1:15" s="685" customFormat="1" x14ac:dyDescent="0.25">
      <c r="A223" s="679"/>
      <c r="B223" s="627" t="s">
        <v>653</v>
      </c>
      <c r="C223" s="681">
        <v>102062</v>
      </c>
      <c r="D223" s="677">
        <v>29255</v>
      </c>
      <c r="E223" s="677">
        <v>55893</v>
      </c>
      <c r="F223" s="682"/>
      <c r="G223" s="677"/>
      <c r="H223" s="674">
        <f>SUM(C223:G223)</f>
        <v>187210</v>
      </c>
      <c r="I223" s="676"/>
      <c r="J223" s="675"/>
      <c r="K223" s="675"/>
      <c r="L223" s="674">
        <f>SUM(I223:K223)</f>
        <v>0</v>
      </c>
      <c r="M223" s="673">
        <f>SUM(H223+L223)</f>
        <v>187210</v>
      </c>
      <c r="N223" s="673"/>
      <c r="O223" s="673">
        <f>SUM(M223+N223)</f>
        <v>187210</v>
      </c>
    </row>
    <row r="224" spans="1:15" s="685" customFormat="1" x14ac:dyDescent="0.25">
      <c r="A224" s="694"/>
      <c r="B224" s="680" t="s">
        <v>1151</v>
      </c>
      <c r="C224" s="712">
        <v>101278</v>
      </c>
      <c r="D224" s="692">
        <v>28984</v>
      </c>
      <c r="E224" s="692">
        <v>55838</v>
      </c>
      <c r="F224" s="703"/>
      <c r="G224" s="692"/>
      <c r="H224" s="687">
        <f>SUM(C224:G224)</f>
        <v>186100</v>
      </c>
      <c r="I224" s="689"/>
      <c r="J224" s="688"/>
      <c r="K224" s="688"/>
      <c r="L224" s="687">
        <f>SUM(I224:K224)</f>
        <v>0</v>
      </c>
      <c r="M224" s="686">
        <f>SUM(H224+L224)</f>
        <v>186100</v>
      </c>
      <c r="N224" s="686"/>
      <c r="O224" s="686">
        <f>SUM(M224+N224)</f>
        <v>186100</v>
      </c>
    </row>
    <row r="225" spans="1:15" s="685" customFormat="1" x14ac:dyDescent="0.25">
      <c r="A225" s="694"/>
      <c r="B225" s="680" t="s">
        <v>737</v>
      </c>
      <c r="C225" s="712">
        <v>784</v>
      </c>
      <c r="D225" s="692">
        <v>271</v>
      </c>
      <c r="E225" s="692">
        <v>55</v>
      </c>
      <c r="F225" s="703"/>
      <c r="G225" s="692"/>
      <c r="H225" s="687">
        <f>SUM(C225:G225)</f>
        <v>1110</v>
      </c>
      <c r="I225" s="689"/>
      <c r="J225" s="688"/>
      <c r="K225" s="688"/>
      <c r="L225" s="687">
        <f>SUM(I225:K225)</f>
        <v>0</v>
      </c>
      <c r="M225" s="686">
        <f>SUM(H225+L225)</f>
        <v>1110</v>
      </c>
      <c r="N225" s="686"/>
      <c r="O225" s="686">
        <f>SUM(M225+N225)</f>
        <v>1110</v>
      </c>
    </row>
    <row r="226" spans="1:15" s="685" customFormat="1" x14ac:dyDescent="0.25">
      <c r="A226" s="694"/>
      <c r="B226" s="680" t="s">
        <v>178</v>
      </c>
      <c r="C226" s="712"/>
      <c r="D226" s="692"/>
      <c r="E226" s="692"/>
      <c r="F226" s="703"/>
      <c r="G226" s="692"/>
      <c r="H226" s="687"/>
      <c r="I226" s="689"/>
      <c r="J226" s="688"/>
      <c r="K226" s="688"/>
      <c r="L226" s="687"/>
      <c r="M226" s="686"/>
      <c r="N226" s="686"/>
      <c r="O226" s="686"/>
    </row>
    <row r="227" spans="1:15" s="685" customFormat="1" x14ac:dyDescent="0.25">
      <c r="A227" s="694"/>
      <c r="B227" s="637" t="s">
        <v>1110</v>
      </c>
      <c r="C227" s="732">
        <v>37</v>
      </c>
      <c r="D227" s="730">
        <v>10</v>
      </c>
      <c r="E227" s="692"/>
      <c r="F227" s="703"/>
      <c r="G227" s="692"/>
      <c r="H227" s="727">
        <f t="shared" ref="H227:H230" si="128">SUM(C227:G227)</f>
        <v>47</v>
      </c>
      <c r="I227" s="761"/>
      <c r="J227" s="731"/>
      <c r="K227" s="731"/>
      <c r="L227" s="727">
        <f t="shared" ref="L227:L230" si="129">SUM(I227:K227)</f>
        <v>0</v>
      </c>
      <c r="M227" s="726">
        <f t="shared" ref="M227:M230" si="130">SUM(H227+L227)</f>
        <v>47</v>
      </c>
      <c r="N227" s="726"/>
      <c r="O227" s="726">
        <f t="shared" ref="O227:O230" si="131">SUM(M227+N227)</f>
        <v>47</v>
      </c>
    </row>
    <row r="228" spans="1:15" s="685" customFormat="1" x14ac:dyDescent="0.25">
      <c r="A228" s="694"/>
      <c r="B228" s="680" t="s">
        <v>179</v>
      </c>
      <c r="C228" s="712"/>
      <c r="D228" s="692"/>
      <c r="E228" s="692"/>
      <c r="F228" s="703"/>
      <c r="G228" s="692"/>
      <c r="H228" s="727"/>
      <c r="I228" s="761"/>
      <c r="J228" s="731"/>
      <c r="K228" s="731"/>
      <c r="L228" s="727"/>
      <c r="M228" s="726"/>
      <c r="N228" s="726"/>
      <c r="O228" s="726"/>
    </row>
    <row r="229" spans="1:15" s="685" customFormat="1" x14ac:dyDescent="0.25">
      <c r="A229" s="694"/>
      <c r="B229" s="637" t="s">
        <v>1111</v>
      </c>
      <c r="C229" s="732">
        <v>518</v>
      </c>
      <c r="D229" s="730">
        <v>179</v>
      </c>
      <c r="E229" s="730"/>
      <c r="F229" s="703"/>
      <c r="G229" s="692"/>
      <c r="H229" s="727">
        <f t="shared" si="128"/>
        <v>697</v>
      </c>
      <c r="I229" s="761"/>
      <c r="J229" s="731"/>
      <c r="K229" s="731"/>
      <c r="L229" s="727">
        <f t="shared" si="129"/>
        <v>0</v>
      </c>
      <c r="M229" s="726">
        <f t="shared" si="130"/>
        <v>697</v>
      </c>
      <c r="N229" s="726"/>
      <c r="O229" s="726">
        <f t="shared" si="131"/>
        <v>697</v>
      </c>
    </row>
    <row r="230" spans="1:15" ht="63.75" thickBot="1" x14ac:dyDescent="0.3">
      <c r="A230" s="694"/>
      <c r="B230" s="637" t="s">
        <v>1155</v>
      </c>
      <c r="C230" s="732"/>
      <c r="D230" s="730"/>
      <c r="E230" s="730">
        <v>50</v>
      </c>
      <c r="F230" s="703"/>
      <c r="G230" s="692"/>
      <c r="H230" s="727">
        <f t="shared" si="128"/>
        <v>50</v>
      </c>
      <c r="I230" s="761"/>
      <c r="J230" s="731"/>
      <c r="K230" s="731"/>
      <c r="L230" s="727">
        <f t="shared" si="129"/>
        <v>0</v>
      </c>
      <c r="M230" s="726">
        <f t="shared" si="130"/>
        <v>50</v>
      </c>
      <c r="N230" s="726"/>
      <c r="O230" s="726">
        <f t="shared" si="131"/>
        <v>50</v>
      </c>
    </row>
    <row r="231" spans="1:15" ht="17.25" thickTop="1" thickBot="1" x14ac:dyDescent="0.3">
      <c r="A231" s="660"/>
      <c r="B231" s="659" t="s">
        <v>736</v>
      </c>
      <c r="C231" s="658">
        <f>+C223+C227+C229+C230</f>
        <v>102617</v>
      </c>
      <c r="D231" s="658">
        <f t="shared" ref="D231:O231" si="132">+D223+D227+D229+D230</f>
        <v>29444</v>
      </c>
      <c r="E231" s="658">
        <f t="shared" si="132"/>
        <v>55943</v>
      </c>
      <c r="F231" s="658">
        <f t="shared" si="132"/>
        <v>0</v>
      </c>
      <c r="G231" s="658">
        <f t="shared" si="132"/>
        <v>0</v>
      </c>
      <c r="H231" s="658">
        <f t="shared" si="132"/>
        <v>188004</v>
      </c>
      <c r="I231" s="658">
        <f t="shared" si="132"/>
        <v>0</v>
      </c>
      <c r="J231" s="658">
        <f t="shared" si="132"/>
        <v>0</v>
      </c>
      <c r="K231" s="658">
        <f t="shared" si="132"/>
        <v>0</v>
      </c>
      <c r="L231" s="658">
        <f t="shared" si="132"/>
        <v>0</v>
      </c>
      <c r="M231" s="658">
        <f t="shared" si="132"/>
        <v>188004</v>
      </c>
      <c r="N231" s="658">
        <f t="shared" si="132"/>
        <v>0</v>
      </c>
      <c r="O231" s="658">
        <f t="shared" si="132"/>
        <v>188004</v>
      </c>
    </row>
    <row r="232" spans="1:15" ht="17.25" thickTop="1" thickBot="1" x14ac:dyDescent="0.3">
      <c r="A232" s="660"/>
      <c r="B232" s="659" t="s">
        <v>735</v>
      </c>
      <c r="C232" s="658">
        <f>+C224+C227</f>
        <v>101315</v>
      </c>
      <c r="D232" s="658">
        <f t="shared" ref="D232:O232" si="133">+D224+D227</f>
        <v>28994</v>
      </c>
      <c r="E232" s="658">
        <f t="shared" si="133"/>
        <v>55838</v>
      </c>
      <c r="F232" s="658">
        <f t="shared" si="133"/>
        <v>0</v>
      </c>
      <c r="G232" s="658">
        <f t="shared" si="133"/>
        <v>0</v>
      </c>
      <c r="H232" s="658">
        <f t="shared" si="133"/>
        <v>186147</v>
      </c>
      <c r="I232" s="658">
        <f t="shared" si="133"/>
        <v>0</v>
      </c>
      <c r="J232" s="658">
        <f t="shared" si="133"/>
        <v>0</v>
      </c>
      <c r="K232" s="658">
        <f t="shared" si="133"/>
        <v>0</v>
      </c>
      <c r="L232" s="658">
        <f t="shared" si="133"/>
        <v>0</v>
      </c>
      <c r="M232" s="658">
        <f t="shared" si="133"/>
        <v>186147</v>
      </c>
      <c r="N232" s="658">
        <f t="shared" si="133"/>
        <v>0</v>
      </c>
      <c r="O232" s="658">
        <f t="shared" si="133"/>
        <v>186147</v>
      </c>
    </row>
    <row r="233" spans="1:15" ht="17.25" thickTop="1" thickBot="1" x14ac:dyDescent="0.3">
      <c r="A233" s="660"/>
      <c r="B233" s="659" t="s">
        <v>734</v>
      </c>
      <c r="C233" s="658">
        <f t="shared" ref="C233:O233" si="134">+C225+C229+C230</f>
        <v>1302</v>
      </c>
      <c r="D233" s="658">
        <f t="shared" si="134"/>
        <v>450</v>
      </c>
      <c r="E233" s="658">
        <f t="shared" si="134"/>
        <v>105</v>
      </c>
      <c r="F233" s="658">
        <f t="shared" si="134"/>
        <v>0</v>
      </c>
      <c r="G233" s="658">
        <f t="shared" si="134"/>
        <v>0</v>
      </c>
      <c r="H233" s="658">
        <f t="shared" si="134"/>
        <v>1857</v>
      </c>
      <c r="I233" s="658">
        <f t="shared" si="134"/>
        <v>0</v>
      </c>
      <c r="J233" s="658">
        <f t="shared" si="134"/>
        <v>0</v>
      </c>
      <c r="K233" s="658">
        <f t="shared" si="134"/>
        <v>0</v>
      </c>
      <c r="L233" s="658">
        <f t="shared" si="134"/>
        <v>0</v>
      </c>
      <c r="M233" s="658">
        <f t="shared" si="134"/>
        <v>1857</v>
      </c>
      <c r="N233" s="658">
        <f t="shared" si="134"/>
        <v>0</v>
      </c>
      <c r="O233" s="658">
        <f t="shared" si="134"/>
        <v>1857</v>
      </c>
    </row>
    <row r="234" spans="1:15" ht="16.5" thickTop="1" x14ac:dyDescent="0.25">
      <c r="A234" s="672" t="s">
        <v>10</v>
      </c>
      <c r="B234" s="724" t="s">
        <v>755</v>
      </c>
      <c r="C234" s="671"/>
      <c r="D234" s="670"/>
      <c r="E234" s="670"/>
      <c r="F234" s="668"/>
      <c r="G234" s="670"/>
      <c r="H234" s="667"/>
      <c r="I234" s="669"/>
      <c r="J234" s="668"/>
      <c r="K234" s="668"/>
      <c r="L234" s="667"/>
      <c r="M234" s="667"/>
      <c r="N234" s="667"/>
      <c r="O234" s="667"/>
    </row>
    <row r="235" spans="1:15" s="685" customFormat="1" x14ac:dyDescent="0.25">
      <c r="A235" s="684"/>
      <c r="B235" s="636" t="s">
        <v>653</v>
      </c>
      <c r="C235" s="681">
        <v>126970</v>
      </c>
      <c r="D235" s="677">
        <v>36053</v>
      </c>
      <c r="E235" s="677">
        <v>50838</v>
      </c>
      <c r="F235" s="675"/>
      <c r="G235" s="677"/>
      <c r="H235" s="674">
        <f>SUM(C235:G235)</f>
        <v>213861</v>
      </c>
      <c r="I235" s="676"/>
      <c r="J235" s="675"/>
      <c r="K235" s="675"/>
      <c r="L235" s="674">
        <f>SUM(I235:K235)</f>
        <v>0</v>
      </c>
      <c r="M235" s="673">
        <f>SUM(H235+L235)</f>
        <v>213861</v>
      </c>
      <c r="N235" s="673"/>
      <c r="O235" s="673">
        <f>SUM(M235+N235)</f>
        <v>213861</v>
      </c>
    </row>
    <row r="236" spans="1:15" s="685" customFormat="1" x14ac:dyDescent="0.25">
      <c r="A236" s="694"/>
      <c r="B236" s="680" t="s">
        <v>1151</v>
      </c>
      <c r="C236" s="712">
        <v>126038</v>
      </c>
      <c r="D236" s="692">
        <v>35731</v>
      </c>
      <c r="E236" s="692">
        <v>50783</v>
      </c>
      <c r="F236" s="688"/>
      <c r="G236" s="692"/>
      <c r="H236" s="687">
        <f>SUM(C236:G236)</f>
        <v>212552</v>
      </c>
      <c r="I236" s="689"/>
      <c r="J236" s="688"/>
      <c r="K236" s="688"/>
      <c r="L236" s="687">
        <f>SUM(I236:K236)</f>
        <v>0</v>
      </c>
      <c r="M236" s="686">
        <f>SUM(H236+L236)</f>
        <v>212552</v>
      </c>
      <c r="N236" s="686"/>
      <c r="O236" s="686">
        <f>SUM(M236+N236)</f>
        <v>212552</v>
      </c>
    </row>
    <row r="237" spans="1:15" s="685" customFormat="1" x14ac:dyDescent="0.25">
      <c r="A237" s="694"/>
      <c r="B237" s="680" t="s">
        <v>737</v>
      </c>
      <c r="C237" s="712">
        <v>932</v>
      </c>
      <c r="D237" s="692">
        <v>322</v>
      </c>
      <c r="E237" s="692">
        <v>55</v>
      </c>
      <c r="F237" s="688"/>
      <c r="G237" s="692"/>
      <c r="H237" s="687">
        <f>SUM(C237:G237)</f>
        <v>1309</v>
      </c>
      <c r="I237" s="689"/>
      <c r="J237" s="688"/>
      <c r="K237" s="688"/>
      <c r="L237" s="687">
        <f>SUM(I237:K237)</f>
        <v>0</v>
      </c>
      <c r="M237" s="686">
        <f>SUM(H237+L237)</f>
        <v>1309</v>
      </c>
      <c r="N237" s="686"/>
      <c r="O237" s="686">
        <f>SUM(M237+N237)</f>
        <v>1309</v>
      </c>
    </row>
    <row r="238" spans="1:15" s="685" customFormat="1" x14ac:dyDescent="0.25">
      <c r="A238" s="694"/>
      <c r="B238" s="680" t="s">
        <v>178</v>
      </c>
      <c r="C238" s="712"/>
      <c r="D238" s="692"/>
      <c r="E238" s="692"/>
      <c r="F238" s="688"/>
      <c r="G238" s="692"/>
      <c r="H238" s="687"/>
      <c r="I238" s="689"/>
      <c r="J238" s="688"/>
      <c r="K238" s="688"/>
      <c r="L238" s="687"/>
      <c r="M238" s="686"/>
      <c r="N238" s="686"/>
      <c r="O238" s="686"/>
    </row>
    <row r="239" spans="1:15" s="685" customFormat="1" x14ac:dyDescent="0.25">
      <c r="A239" s="694"/>
      <c r="B239" s="637" t="s">
        <v>1110</v>
      </c>
      <c r="C239" s="732">
        <v>56</v>
      </c>
      <c r="D239" s="730">
        <v>15</v>
      </c>
      <c r="E239" s="692"/>
      <c r="F239" s="688"/>
      <c r="G239" s="692"/>
      <c r="H239" s="727">
        <f t="shared" ref="H239:H241" si="135">SUM(C239:G239)</f>
        <v>71</v>
      </c>
      <c r="I239" s="761"/>
      <c r="J239" s="731"/>
      <c r="K239" s="731"/>
      <c r="L239" s="727">
        <f t="shared" ref="L239:L241" si="136">SUM(I239:K239)</f>
        <v>0</v>
      </c>
      <c r="M239" s="726">
        <f t="shared" ref="M239:M241" si="137">SUM(H239+L239)</f>
        <v>71</v>
      </c>
      <c r="N239" s="726"/>
      <c r="O239" s="726">
        <f t="shared" ref="O239:O241" si="138">SUM(M239+N239)</f>
        <v>71</v>
      </c>
    </row>
    <row r="240" spans="1:15" s="685" customFormat="1" x14ac:dyDescent="0.25">
      <c r="A240" s="694"/>
      <c r="B240" s="680" t="s">
        <v>179</v>
      </c>
      <c r="C240" s="712"/>
      <c r="D240" s="692"/>
      <c r="E240" s="692"/>
      <c r="F240" s="688"/>
      <c r="G240" s="692"/>
      <c r="H240" s="727"/>
      <c r="I240" s="761"/>
      <c r="J240" s="731"/>
      <c r="K240" s="731"/>
      <c r="L240" s="727"/>
      <c r="M240" s="726"/>
      <c r="N240" s="726"/>
      <c r="O240" s="726"/>
    </row>
    <row r="241" spans="1:15" s="685" customFormat="1" ht="16.5" thickBot="1" x14ac:dyDescent="0.3">
      <c r="A241" s="694"/>
      <c r="B241" s="637" t="s">
        <v>1111</v>
      </c>
      <c r="C241" s="732">
        <v>632</v>
      </c>
      <c r="D241" s="730">
        <v>218</v>
      </c>
      <c r="E241" s="730"/>
      <c r="F241" s="688"/>
      <c r="G241" s="692"/>
      <c r="H241" s="727">
        <f t="shared" si="135"/>
        <v>850</v>
      </c>
      <c r="I241" s="761"/>
      <c r="J241" s="731"/>
      <c r="K241" s="731"/>
      <c r="L241" s="727">
        <f t="shared" si="136"/>
        <v>0</v>
      </c>
      <c r="M241" s="726">
        <f t="shared" si="137"/>
        <v>850</v>
      </c>
      <c r="N241" s="726"/>
      <c r="O241" s="726">
        <f t="shared" si="138"/>
        <v>850</v>
      </c>
    </row>
    <row r="242" spans="1:15" s="685" customFormat="1" ht="17.25" thickTop="1" thickBot="1" x14ac:dyDescent="0.3">
      <c r="A242" s="660"/>
      <c r="B242" s="659" t="s">
        <v>736</v>
      </c>
      <c r="C242" s="658">
        <f>+C235+C239+C241</f>
        <v>127658</v>
      </c>
      <c r="D242" s="658">
        <f t="shared" ref="D242:O242" si="139">+D235+D239+D241</f>
        <v>36286</v>
      </c>
      <c r="E242" s="658">
        <f t="shared" si="139"/>
        <v>50838</v>
      </c>
      <c r="F242" s="658">
        <f t="shared" si="139"/>
        <v>0</v>
      </c>
      <c r="G242" s="658">
        <f t="shared" si="139"/>
        <v>0</v>
      </c>
      <c r="H242" s="658">
        <f t="shared" si="139"/>
        <v>214782</v>
      </c>
      <c r="I242" s="658">
        <f t="shared" si="139"/>
        <v>0</v>
      </c>
      <c r="J242" s="658">
        <f t="shared" si="139"/>
        <v>0</v>
      </c>
      <c r="K242" s="658">
        <f t="shared" si="139"/>
        <v>0</v>
      </c>
      <c r="L242" s="658">
        <f t="shared" si="139"/>
        <v>0</v>
      </c>
      <c r="M242" s="658">
        <f t="shared" si="139"/>
        <v>214782</v>
      </c>
      <c r="N242" s="658">
        <f t="shared" si="139"/>
        <v>0</v>
      </c>
      <c r="O242" s="658">
        <f t="shared" si="139"/>
        <v>214782</v>
      </c>
    </row>
    <row r="243" spans="1:15" s="685" customFormat="1" ht="17.25" thickTop="1" thickBot="1" x14ac:dyDescent="0.3">
      <c r="A243" s="660"/>
      <c r="B243" s="659" t="s">
        <v>735</v>
      </c>
      <c r="C243" s="658">
        <f>+C236+C239</f>
        <v>126094</v>
      </c>
      <c r="D243" s="658">
        <f t="shared" ref="D243:O243" si="140">+D236+D239</f>
        <v>35746</v>
      </c>
      <c r="E243" s="658">
        <f t="shared" si="140"/>
        <v>50783</v>
      </c>
      <c r="F243" s="658">
        <f t="shared" si="140"/>
        <v>0</v>
      </c>
      <c r="G243" s="658">
        <f t="shared" si="140"/>
        <v>0</v>
      </c>
      <c r="H243" s="658">
        <f t="shared" si="140"/>
        <v>212623</v>
      </c>
      <c r="I243" s="658">
        <f t="shared" si="140"/>
        <v>0</v>
      </c>
      <c r="J243" s="658">
        <f t="shared" si="140"/>
        <v>0</v>
      </c>
      <c r="K243" s="658">
        <f t="shared" si="140"/>
        <v>0</v>
      </c>
      <c r="L243" s="658">
        <f t="shared" si="140"/>
        <v>0</v>
      </c>
      <c r="M243" s="658">
        <f t="shared" si="140"/>
        <v>212623</v>
      </c>
      <c r="N243" s="658">
        <f t="shared" si="140"/>
        <v>0</v>
      </c>
      <c r="O243" s="658">
        <f t="shared" si="140"/>
        <v>212623</v>
      </c>
    </row>
    <row r="244" spans="1:15" s="685" customFormat="1" ht="17.25" thickTop="1" thickBot="1" x14ac:dyDescent="0.3">
      <c r="A244" s="660"/>
      <c r="B244" s="659" t="s">
        <v>734</v>
      </c>
      <c r="C244" s="658">
        <f>+C237+C241</f>
        <v>1564</v>
      </c>
      <c r="D244" s="658">
        <f t="shared" ref="D244:O244" si="141">+D237+D241</f>
        <v>540</v>
      </c>
      <c r="E244" s="658">
        <f t="shared" si="141"/>
        <v>55</v>
      </c>
      <c r="F244" s="658">
        <f t="shared" si="141"/>
        <v>0</v>
      </c>
      <c r="G244" s="658">
        <f t="shared" si="141"/>
        <v>0</v>
      </c>
      <c r="H244" s="658">
        <f t="shared" si="141"/>
        <v>2159</v>
      </c>
      <c r="I244" s="658">
        <f t="shared" si="141"/>
        <v>0</v>
      </c>
      <c r="J244" s="658">
        <f t="shared" si="141"/>
        <v>0</v>
      </c>
      <c r="K244" s="658">
        <f t="shared" si="141"/>
        <v>0</v>
      </c>
      <c r="L244" s="658">
        <f t="shared" si="141"/>
        <v>0</v>
      </c>
      <c r="M244" s="658">
        <f t="shared" si="141"/>
        <v>2159</v>
      </c>
      <c r="N244" s="658">
        <f t="shared" si="141"/>
        <v>0</v>
      </c>
      <c r="O244" s="658">
        <f t="shared" si="141"/>
        <v>2159</v>
      </c>
    </row>
    <row r="245" spans="1:15" ht="17.25" thickTop="1" thickBot="1" x14ac:dyDescent="0.3">
      <c r="A245" s="660"/>
      <c r="B245" s="659" t="s">
        <v>754</v>
      </c>
      <c r="C245" s="658">
        <f t="shared" ref="C245:O245" si="142">SUM(C114+C125+C136+C148+C160+C172+C185+C197+C208+C219+C231+C242)</f>
        <v>1496404</v>
      </c>
      <c r="D245" s="658">
        <f t="shared" si="142"/>
        <v>425359</v>
      </c>
      <c r="E245" s="658">
        <f t="shared" si="142"/>
        <v>683470</v>
      </c>
      <c r="F245" s="658">
        <f t="shared" si="142"/>
        <v>0</v>
      </c>
      <c r="G245" s="658">
        <f t="shared" si="142"/>
        <v>0</v>
      </c>
      <c r="H245" s="658">
        <f t="shared" si="142"/>
        <v>2605233</v>
      </c>
      <c r="I245" s="658">
        <f t="shared" si="142"/>
        <v>4420</v>
      </c>
      <c r="J245" s="658">
        <f t="shared" si="142"/>
        <v>0</v>
      </c>
      <c r="K245" s="658">
        <f t="shared" si="142"/>
        <v>0</v>
      </c>
      <c r="L245" s="658">
        <f t="shared" si="142"/>
        <v>4420</v>
      </c>
      <c r="M245" s="658">
        <f t="shared" si="142"/>
        <v>2609653</v>
      </c>
      <c r="N245" s="658">
        <f t="shared" si="142"/>
        <v>0</v>
      </c>
      <c r="O245" s="658">
        <f t="shared" si="142"/>
        <v>2609653</v>
      </c>
    </row>
    <row r="246" spans="1:15" ht="17.25" thickTop="1" thickBot="1" x14ac:dyDescent="0.3">
      <c r="A246" s="660"/>
      <c r="B246" s="659" t="s">
        <v>753</v>
      </c>
      <c r="C246" s="658">
        <f t="shared" ref="C246:O246" si="143">SUM(C31+C105+C245)</f>
        <v>2214656</v>
      </c>
      <c r="D246" s="658">
        <f t="shared" si="143"/>
        <v>625192</v>
      </c>
      <c r="E246" s="658">
        <f t="shared" si="143"/>
        <v>975377</v>
      </c>
      <c r="F246" s="658">
        <f t="shared" si="143"/>
        <v>0</v>
      </c>
      <c r="G246" s="658">
        <f t="shared" si="143"/>
        <v>0</v>
      </c>
      <c r="H246" s="658">
        <f t="shared" si="143"/>
        <v>3815225</v>
      </c>
      <c r="I246" s="658">
        <f t="shared" si="143"/>
        <v>4420</v>
      </c>
      <c r="J246" s="658">
        <f t="shared" si="143"/>
        <v>0</v>
      </c>
      <c r="K246" s="658">
        <f t="shared" si="143"/>
        <v>0</v>
      </c>
      <c r="L246" s="658">
        <f t="shared" si="143"/>
        <v>4420</v>
      </c>
      <c r="M246" s="658">
        <f t="shared" si="143"/>
        <v>3819645</v>
      </c>
      <c r="N246" s="658">
        <f t="shared" si="143"/>
        <v>0</v>
      </c>
      <c r="O246" s="658">
        <f t="shared" si="143"/>
        <v>3819645</v>
      </c>
    </row>
    <row r="247" spans="1:15" ht="16.5" thickTop="1" x14ac:dyDescent="0.25">
      <c r="A247" s="679" t="s">
        <v>11</v>
      </c>
      <c r="B247" s="636" t="s">
        <v>681</v>
      </c>
      <c r="C247" s="681"/>
      <c r="D247" s="677"/>
      <c r="E247" s="677"/>
      <c r="F247" s="682"/>
      <c r="G247" s="677"/>
      <c r="H247" s="674"/>
      <c r="I247" s="676"/>
      <c r="J247" s="675"/>
      <c r="K247" s="675"/>
      <c r="L247" s="674"/>
      <c r="M247" s="674"/>
      <c r="N247" s="674"/>
      <c r="O247" s="674"/>
    </row>
    <row r="248" spans="1:15" x14ac:dyDescent="0.25">
      <c r="A248" s="679"/>
      <c r="B248" s="627" t="s">
        <v>653</v>
      </c>
      <c r="C248" s="681">
        <v>472334</v>
      </c>
      <c r="D248" s="677">
        <v>135258</v>
      </c>
      <c r="E248" s="677">
        <v>394137</v>
      </c>
      <c r="F248" s="682"/>
      <c r="G248" s="677"/>
      <c r="H248" s="674">
        <f>SUM(C248:G248)</f>
        <v>1001729</v>
      </c>
      <c r="I248" s="676"/>
      <c r="J248" s="675"/>
      <c r="K248" s="675"/>
      <c r="L248" s="674">
        <f>SUM(I248:K248)</f>
        <v>0</v>
      </c>
      <c r="M248" s="673">
        <f>SUM(H248+L248)</f>
        <v>1001729</v>
      </c>
      <c r="N248" s="673"/>
      <c r="O248" s="673">
        <f>SUM(M248+N248)</f>
        <v>1001729</v>
      </c>
    </row>
    <row r="249" spans="1:15" x14ac:dyDescent="0.25">
      <c r="A249" s="694"/>
      <c r="B249" s="680" t="s">
        <v>1151</v>
      </c>
      <c r="C249" s="712">
        <v>467476</v>
      </c>
      <c r="D249" s="692">
        <v>133582</v>
      </c>
      <c r="E249" s="692">
        <v>394027</v>
      </c>
      <c r="F249" s="703"/>
      <c r="G249" s="692"/>
      <c r="H249" s="687">
        <f>SUM(C249:G249)</f>
        <v>995085</v>
      </c>
      <c r="I249" s="689"/>
      <c r="J249" s="688"/>
      <c r="K249" s="688"/>
      <c r="L249" s="687">
        <f>SUM(I249:K249)</f>
        <v>0</v>
      </c>
      <c r="M249" s="686">
        <f>SUM(H249+L249)</f>
        <v>995085</v>
      </c>
      <c r="N249" s="686"/>
      <c r="O249" s="686">
        <f>SUM(M249+N249)</f>
        <v>995085</v>
      </c>
    </row>
    <row r="250" spans="1:15" s="685" customFormat="1" x14ac:dyDescent="0.25">
      <c r="A250" s="694"/>
      <c r="B250" s="680" t="s">
        <v>737</v>
      </c>
      <c r="C250" s="712">
        <v>4858</v>
      </c>
      <c r="D250" s="692">
        <v>1676</v>
      </c>
      <c r="E250" s="692">
        <v>110</v>
      </c>
      <c r="F250" s="703"/>
      <c r="G250" s="692"/>
      <c r="H250" s="687">
        <f>SUM(C250:G250)</f>
        <v>6644</v>
      </c>
      <c r="I250" s="689"/>
      <c r="J250" s="688"/>
      <c r="K250" s="688"/>
      <c r="L250" s="687">
        <f>SUM(I250:K250)</f>
        <v>0</v>
      </c>
      <c r="M250" s="686">
        <f>SUM(H250+L250)</f>
        <v>6644</v>
      </c>
      <c r="N250" s="686"/>
      <c r="O250" s="686">
        <f>SUM(M250+N250)</f>
        <v>6644</v>
      </c>
    </row>
    <row r="251" spans="1:15" s="685" customFormat="1" x14ac:dyDescent="0.25">
      <c r="A251" s="694"/>
      <c r="B251" s="680" t="s">
        <v>178</v>
      </c>
      <c r="C251" s="712"/>
      <c r="D251" s="692"/>
      <c r="E251" s="692"/>
      <c r="F251" s="703"/>
      <c r="G251" s="692"/>
      <c r="H251" s="687"/>
      <c r="I251" s="689"/>
      <c r="J251" s="688"/>
      <c r="K251" s="688"/>
      <c r="L251" s="687"/>
      <c r="M251" s="686"/>
      <c r="N251" s="686"/>
      <c r="O251" s="686"/>
    </row>
    <row r="252" spans="1:15" s="685" customFormat="1" x14ac:dyDescent="0.25">
      <c r="A252" s="713"/>
      <c r="B252" s="638" t="s">
        <v>1110</v>
      </c>
      <c r="C252" s="732">
        <v>1177</v>
      </c>
      <c r="D252" s="730">
        <v>318</v>
      </c>
      <c r="E252" s="692"/>
      <c r="F252" s="688"/>
      <c r="G252" s="692"/>
      <c r="H252" s="727">
        <f t="shared" ref="H252:H257" si="144">SUM(C252:G252)</f>
        <v>1495</v>
      </c>
      <c r="I252" s="761"/>
      <c r="J252" s="731"/>
      <c r="K252" s="731"/>
      <c r="L252" s="727">
        <f t="shared" ref="L252:L257" si="145">SUM(I252:K252)</f>
        <v>0</v>
      </c>
      <c r="M252" s="727">
        <f t="shared" ref="M252:M257" si="146">SUM(H252+L252)</f>
        <v>1495</v>
      </c>
      <c r="N252" s="727"/>
      <c r="O252" s="727">
        <f t="shared" ref="O252:O257" si="147">SUM(M252+N252)</f>
        <v>1495</v>
      </c>
    </row>
    <row r="253" spans="1:15" s="685" customFormat="1" ht="31.5" x14ac:dyDescent="0.25">
      <c r="A253" s="713"/>
      <c r="B253" s="638" t="s">
        <v>1152</v>
      </c>
      <c r="C253" s="732">
        <v>2033</v>
      </c>
      <c r="D253" s="730">
        <v>549</v>
      </c>
      <c r="E253" s="730"/>
      <c r="F253" s="688"/>
      <c r="G253" s="692"/>
      <c r="H253" s="727">
        <f t="shared" si="144"/>
        <v>2582</v>
      </c>
      <c r="I253" s="761"/>
      <c r="J253" s="731"/>
      <c r="K253" s="731"/>
      <c r="L253" s="727">
        <f t="shared" si="145"/>
        <v>0</v>
      </c>
      <c r="M253" s="727">
        <f t="shared" si="146"/>
        <v>2582</v>
      </c>
      <c r="N253" s="727"/>
      <c r="O253" s="727">
        <f t="shared" si="147"/>
        <v>2582</v>
      </c>
    </row>
    <row r="254" spans="1:15" s="685" customFormat="1" x14ac:dyDescent="0.25">
      <c r="A254" s="694"/>
      <c r="B254" s="637" t="s">
        <v>942</v>
      </c>
      <c r="C254" s="732">
        <v>366</v>
      </c>
      <c r="D254" s="730">
        <v>99</v>
      </c>
      <c r="E254" s="692"/>
      <c r="F254" s="703"/>
      <c r="G254" s="692"/>
      <c r="H254" s="727">
        <f t="shared" si="144"/>
        <v>465</v>
      </c>
      <c r="I254" s="761"/>
      <c r="J254" s="731"/>
      <c r="K254" s="731"/>
      <c r="L254" s="727">
        <f t="shared" si="145"/>
        <v>0</v>
      </c>
      <c r="M254" s="726">
        <f t="shared" si="146"/>
        <v>465</v>
      </c>
      <c r="N254" s="726"/>
      <c r="O254" s="726">
        <f t="shared" si="147"/>
        <v>465</v>
      </c>
    </row>
    <row r="255" spans="1:15" s="685" customFormat="1" ht="31.5" x14ac:dyDescent="0.25">
      <c r="A255" s="694"/>
      <c r="B255" s="637" t="s">
        <v>1156</v>
      </c>
      <c r="C255" s="732"/>
      <c r="D255" s="730"/>
      <c r="E255" s="730">
        <v>-8</v>
      </c>
      <c r="F255" s="728">
        <v>8</v>
      </c>
      <c r="G255" s="692"/>
      <c r="H255" s="727">
        <f t="shared" si="144"/>
        <v>0</v>
      </c>
      <c r="I255" s="761"/>
      <c r="J255" s="731"/>
      <c r="K255" s="731"/>
      <c r="L255" s="727">
        <f t="shared" si="145"/>
        <v>0</v>
      </c>
      <c r="M255" s="726">
        <f t="shared" si="146"/>
        <v>0</v>
      </c>
      <c r="N255" s="726"/>
      <c r="O255" s="726">
        <f t="shared" si="147"/>
        <v>0</v>
      </c>
    </row>
    <row r="256" spans="1:15" s="685" customFormat="1" x14ac:dyDescent="0.25">
      <c r="A256" s="694"/>
      <c r="B256" s="680" t="s">
        <v>179</v>
      </c>
      <c r="C256" s="712"/>
      <c r="D256" s="692"/>
      <c r="E256" s="692"/>
      <c r="F256" s="703"/>
      <c r="G256" s="692"/>
      <c r="H256" s="727"/>
      <c r="I256" s="761"/>
      <c r="J256" s="731"/>
      <c r="K256" s="731"/>
      <c r="L256" s="727"/>
      <c r="M256" s="726"/>
      <c r="N256" s="726"/>
      <c r="O256" s="726"/>
    </row>
    <row r="257" spans="1:15" s="685" customFormat="1" ht="16.5" thickBot="1" x14ac:dyDescent="0.3">
      <c r="A257" s="694"/>
      <c r="B257" s="637" t="s">
        <v>1111</v>
      </c>
      <c r="C257" s="732">
        <v>3272</v>
      </c>
      <c r="D257" s="730">
        <v>1129</v>
      </c>
      <c r="E257" s="730"/>
      <c r="F257" s="703"/>
      <c r="G257" s="692"/>
      <c r="H257" s="727">
        <f t="shared" si="144"/>
        <v>4401</v>
      </c>
      <c r="I257" s="761"/>
      <c r="J257" s="731"/>
      <c r="K257" s="731"/>
      <c r="L257" s="727">
        <f t="shared" si="145"/>
        <v>0</v>
      </c>
      <c r="M257" s="726">
        <f t="shared" si="146"/>
        <v>4401</v>
      </c>
      <c r="N257" s="726"/>
      <c r="O257" s="726">
        <f t="shared" si="147"/>
        <v>4401</v>
      </c>
    </row>
    <row r="258" spans="1:15" s="685" customFormat="1" ht="17.25" thickTop="1" thickBot="1" x14ac:dyDescent="0.3">
      <c r="A258" s="660"/>
      <c r="B258" s="659" t="s">
        <v>736</v>
      </c>
      <c r="C258" s="658">
        <f>+C248+C252+C253+C254+C257+C255</f>
        <v>479182</v>
      </c>
      <c r="D258" s="658">
        <f t="shared" ref="D258:O258" si="148">+D248+D252+D253+D254+D257+D255</f>
        <v>137353</v>
      </c>
      <c r="E258" s="658">
        <f t="shared" si="148"/>
        <v>394129</v>
      </c>
      <c r="F258" s="658">
        <f t="shared" si="148"/>
        <v>8</v>
      </c>
      <c r="G258" s="658">
        <f t="shared" si="148"/>
        <v>0</v>
      </c>
      <c r="H258" s="658">
        <f t="shared" si="148"/>
        <v>1010672</v>
      </c>
      <c r="I258" s="658">
        <f t="shared" si="148"/>
        <v>0</v>
      </c>
      <c r="J258" s="658">
        <f t="shared" si="148"/>
        <v>0</v>
      </c>
      <c r="K258" s="658">
        <f t="shared" si="148"/>
        <v>0</v>
      </c>
      <c r="L258" s="658">
        <f t="shared" si="148"/>
        <v>0</v>
      </c>
      <c r="M258" s="658">
        <f t="shared" si="148"/>
        <v>1010672</v>
      </c>
      <c r="N258" s="658">
        <f t="shared" si="148"/>
        <v>0</v>
      </c>
      <c r="O258" s="658">
        <f t="shared" si="148"/>
        <v>1010672</v>
      </c>
    </row>
    <row r="259" spans="1:15" s="685" customFormat="1" ht="17.25" thickTop="1" thickBot="1" x14ac:dyDescent="0.3">
      <c r="A259" s="660"/>
      <c r="B259" s="659" t="s">
        <v>735</v>
      </c>
      <c r="C259" s="658">
        <f>+C249+C252+C253+C254+C255</f>
        <v>471052</v>
      </c>
      <c r="D259" s="658">
        <f t="shared" ref="D259:O259" si="149">+D249+D252+D253+D254+D255</f>
        <v>134548</v>
      </c>
      <c r="E259" s="658">
        <f t="shared" si="149"/>
        <v>394019</v>
      </c>
      <c r="F259" s="658">
        <f t="shared" si="149"/>
        <v>8</v>
      </c>
      <c r="G259" s="658">
        <f t="shared" si="149"/>
        <v>0</v>
      </c>
      <c r="H259" s="658">
        <f t="shared" si="149"/>
        <v>999627</v>
      </c>
      <c r="I259" s="658">
        <f t="shared" si="149"/>
        <v>0</v>
      </c>
      <c r="J259" s="658">
        <f t="shared" si="149"/>
        <v>0</v>
      </c>
      <c r="K259" s="658">
        <f t="shared" si="149"/>
        <v>0</v>
      </c>
      <c r="L259" s="658">
        <f t="shared" si="149"/>
        <v>0</v>
      </c>
      <c r="M259" s="658">
        <f t="shared" si="149"/>
        <v>999627</v>
      </c>
      <c r="N259" s="658">
        <f t="shared" si="149"/>
        <v>0</v>
      </c>
      <c r="O259" s="658">
        <f t="shared" si="149"/>
        <v>999627</v>
      </c>
    </row>
    <row r="260" spans="1:15" s="685" customFormat="1" ht="17.25" thickTop="1" thickBot="1" x14ac:dyDescent="0.3">
      <c r="A260" s="660"/>
      <c r="B260" s="659" t="s">
        <v>734</v>
      </c>
      <c r="C260" s="658">
        <f>+C250+C257</f>
        <v>8130</v>
      </c>
      <c r="D260" s="658">
        <f t="shared" ref="D260:O260" si="150">+D250+D257</f>
        <v>2805</v>
      </c>
      <c r="E260" s="658">
        <f t="shared" si="150"/>
        <v>110</v>
      </c>
      <c r="F260" s="658">
        <f t="shared" si="150"/>
        <v>0</v>
      </c>
      <c r="G260" s="658">
        <f t="shared" si="150"/>
        <v>0</v>
      </c>
      <c r="H260" s="658">
        <f t="shared" si="150"/>
        <v>11045</v>
      </c>
      <c r="I260" s="658">
        <f t="shared" si="150"/>
        <v>0</v>
      </c>
      <c r="J260" s="658">
        <f t="shared" si="150"/>
        <v>0</v>
      </c>
      <c r="K260" s="658">
        <f t="shared" si="150"/>
        <v>0</v>
      </c>
      <c r="L260" s="658">
        <f t="shared" si="150"/>
        <v>0</v>
      </c>
      <c r="M260" s="658">
        <f t="shared" si="150"/>
        <v>11045</v>
      </c>
      <c r="N260" s="658">
        <f t="shared" si="150"/>
        <v>0</v>
      </c>
      <c r="O260" s="658">
        <f t="shared" si="150"/>
        <v>11045</v>
      </c>
    </row>
    <row r="261" spans="1:15" ht="32.25" thickTop="1" x14ac:dyDescent="0.25">
      <c r="A261" s="679" t="s">
        <v>12</v>
      </c>
      <c r="B261" s="636" t="s">
        <v>811</v>
      </c>
      <c r="C261" s="681"/>
      <c r="D261" s="677"/>
      <c r="E261" s="677"/>
      <c r="F261" s="682"/>
      <c r="G261" s="677"/>
      <c r="H261" s="674"/>
      <c r="I261" s="676"/>
      <c r="J261" s="675"/>
      <c r="K261" s="675"/>
      <c r="L261" s="674"/>
      <c r="M261" s="674"/>
      <c r="N261" s="674"/>
      <c r="O261" s="674"/>
    </row>
    <row r="262" spans="1:15" x14ac:dyDescent="0.25">
      <c r="A262" s="679"/>
      <c r="B262" s="627" t="s">
        <v>653</v>
      </c>
      <c r="C262" s="681">
        <v>126588</v>
      </c>
      <c r="D262" s="677">
        <v>34070</v>
      </c>
      <c r="E262" s="677">
        <v>24392</v>
      </c>
      <c r="F262" s="682"/>
      <c r="G262" s="677"/>
      <c r="H262" s="674">
        <f>SUM(C262:G262)</f>
        <v>185050</v>
      </c>
      <c r="I262" s="676">
        <v>1054</v>
      </c>
      <c r="J262" s="675"/>
      <c r="K262" s="675"/>
      <c r="L262" s="674">
        <f>SUM(I262:K262)</f>
        <v>1054</v>
      </c>
      <c r="M262" s="673">
        <f>SUM(H262+L262)</f>
        <v>186104</v>
      </c>
      <c r="N262" s="673"/>
      <c r="O262" s="673">
        <f>SUM(M262+N262)</f>
        <v>186104</v>
      </c>
    </row>
    <row r="263" spans="1:15" x14ac:dyDescent="0.25">
      <c r="A263" s="694"/>
      <c r="B263" s="680" t="s">
        <v>1151</v>
      </c>
      <c r="C263" s="712">
        <v>125439</v>
      </c>
      <c r="D263" s="692">
        <v>33674</v>
      </c>
      <c r="E263" s="692">
        <v>24337</v>
      </c>
      <c r="F263" s="703"/>
      <c r="G263" s="692"/>
      <c r="H263" s="687">
        <f>SUM(C263:G263)</f>
        <v>183450</v>
      </c>
      <c r="I263" s="689">
        <v>1054</v>
      </c>
      <c r="J263" s="688"/>
      <c r="K263" s="688"/>
      <c r="L263" s="687">
        <f>SUM(I263:K263)</f>
        <v>1054</v>
      </c>
      <c r="M263" s="686">
        <f>SUM(H263+L263)</f>
        <v>184504</v>
      </c>
      <c r="N263" s="686"/>
      <c r="O263" s="686">
        <f>SUM(M263+N263)</f>
        <v>184504</v>
      </c>
    </row>
    <row r="264" spans="1:15" x14ac:dyDescent="0.25">
      <c r="A264" s="679"/>
      <c r="B264" s="627" t="s">
        <v>737</v>
      </c>
      <c r="C264" s="681">
        <v>1149</v>
      </c>
      <c r="D264" s="677">
        <v>396</v>
      </c>
      <c r="E264" s="677">
        <v>55</v>
      </c>
      <c r="F264" s="682"/>
      <c r="G264" s="677"/>
      <c r="H264" s="674">
        <f>SUM(C264:G264)</f>
        <v>1600</v>
      </c>
      <c r="I264" s="676"/>
      <c r="J264" s="675"/>
      <c r="K264" s="675"/>
      <c r="L264" s="674">
        <f>SUM(I264:K264)</f>
        <v>0</v>
      </c>
      <c r="M264" s="673">
        <f>SUM(H264+L264)</f>
        <v>1600</v>
      </c>
      <c r="N264" s="673"/>
      <c r="O264" s="673">
        <f>SUM(M264+N264)</f>
        <v>1600</v>
      </c>
    </row>
    <row r="265" spans="1:15" x14ac:dyDescent="0.25">
      <c r="A265" s="694"/>
      <c r="B265" s="680" t="s">
        <v>178</v>
      </c>
      <c r="C265" s="712"/>
      <c r="D265" s="692"/>
      <c r="E265" s="692"/>
      <c r="F265" s="703"/>
      <c r="G265" s="692"/>
      <c r="H265" s="674"/>
      <c r="I265" s="689"/>
      <c r="J265" s="688"/>
      <c r="K265" s="688"/>
      <c r="L265" s="674"/>
      <c r="M265" s="673"/>
      <c r="N265" s="686"/>
      <c r="O265" s="673"/>
    </row>
    <row r="266" spans="1:15" s="685" customFormat="1" x14ac:dyDescent="0.25">
      <c r="A266" s="679"/>
      <c r="B266" s="627" t="s">
        <v>1110</v>
      </c>
      <c r="C266" s="681">
        <v>317</v>
      </c>
      <c r="D266" s="677">
        <v>86</v>
      </c>
      <c r="E266" s="677"/>
      <c r="F266" s="682"/>
      <c r="G266" s="677"/>
      <c r="H266" s="674">
        <f t="shared" ref="H266:H270" si="151">SUM(C266:G266)</f>
        <v>403</v>
      </c>
      <c r="I266" s="676"/>
      <c r="J266" s="675"/>
      <c r="K266" s="675"/>
      <c r="L266" s="674">
        <f t="shared" ref="L266:L270" si="152">SUM(I266:K266)</f>
        <v>0</v>
      </c>
      <c r="M266" s="673">
        <f t="shared" ref="M266:M270" si="153">SUM(H266+L266)</f>
        <v>403</v>
      </c>
      <c r="N266" s="673"/>
      <c r="O266" s="673">
        <f t="shared" ref="O266:O270" si="154">SUM(M266+N266)</f>
        <v>403</v>
      </c>
    </row>
    <row r="267" spans="1:15" s="685" customFormat="1" ht="31.5" x14ac:dyDescent="0.25">
      <c r="A267" s="694"/>
      <c r="B267" s="637" t="s">
        <v>1152</v>
      </c>
      <c r="C267" s="732">
        <v>1344</v>
      </c>
      <c r="D267" s="730">
        <v>363</v>
      </c>
      <c r="E267" s="692"/>
      <c r="F267" s="703"/>
      <c r="G267" s="692"/>
      <c r="H267" s="674">
        <f t="shared" si="151"/>
        <v>1707</v>
      </c>
      <c r="I267" s="689"/>
      <c r="J267" s="688"/>
      <c r="K267" s="688"/>
      <c r="L267" s="674">
        <f t="shared" si="152"/>
        <v>0</v>
      </c>
      <c r="M267" s="673">
        <f t="shared" si="153"/>
        <v>1707</v>
      </c>
      <c r="N267" s="686"/>
      <c r="O267" s="673">
        <f t="shared" si="154"/>
        <v>1707</v>
      </c>
    </row>
    <row r="268" spans="1:15" s="685" customFormat="1" x14ac:dyDescent="0.25">
      <c r="A268" s="679"/>
      <c r="B268" s="627" t="s">
        <v>942</v>
      </c>
      <c r="C268" s="681">
        <v>1097</v>
      </c>
      <c r="D268" s="677">
        <v>296</v>
      </c>
      <c r="E268" s="677"/>
      <c r="F268" s="682"/>
      <c r="G268" s="677"/>
      <c r="H268" s="674">
        <f t="shared" si="151"/>
        <v>1393</v>
      </c>
      <c r="I268" s="676"/>
      <c r="J268" s="675"/>
      <c r="K268" s="675"/>
      <c r="L268" s="674">
        <f t="shared" si="152"/>
        <v>0</v>
      </c>
      <c r="M268" s="673">
        <f t="shared" si="153"/>
        <v>1393</v>
      </c>
      <c r="N268" s="673"/>
      <c r="O268" s="673">
        <f t="shared" si="154"/>
        <v>1393</v>
      </c>
    </row>
    <row r="269" spans="1:15" s="685" customFormat="1" x14ac:dyDescent="0.25">
      <c r="A269" s="694"/>
      <c r="B269" s="680" t="s">
        <v>179</v>
      </c>
      <c r="C269" s="712"/>
      <c r="D269" s="692"/>
      <c r="E269" s="692"/>
      <c r="F269" s="703"/>
      <c r="G269" s="692"/>
      <c r="H269" s="674"/>
      <c r="I269" s="689"/>
      <c r="J269" s="688"/>
      <c r="K269" s="688"/>
      <c r="L269" s="674"/>
      <c r="M269" s="673"/>
      <c r="N269" s="686"/>
      <c r="O269" s="673"/>
    </row>
    <row r="270" spans="1:15" s="685" customFormat="1" ht="16.5" thickBot="1" x14ac:dyDescent="0.3">
      <c r="A270" s="679"/>
      <c r="B270" s="637" t="s">
        <v>1111</v>
      </c>
      <c r="C270" s="681">
        <v>793</v>
      </c>
      <c r="D270" s="677">
        <v>273</v>
      </c>
      <c r="E270" s="677"/>
      <c r="F270" s="682"/>
      <c r="G270" s="677"/>
      <c r="H270" s="674">
        <f t="shared" si="151"/>
        <v>1066</v>
      </c>
      <c r="I270" s="676"/>
      <c r="J270" s="675"/>
      <c r="K270" s="675"/>
      <c r="L270" s="674">
        <f t="shared" si="152"/>
        <v>0</v>
      </c>
      <c r="M270" s="673">
        <f t="shared" si="153"/>
        <v>1066</v>
      </c>
      <c r="N270" s="673"/>
      <c r="O270" s="673">
        <f t="shared" si="154"/>
        <v>1066</v>
      </c>
    </row>
    <row r="271" spans="1:15" s="685" customFormat="1" ht="17.25" thickTop="1" thickBot="1" x14ac:dyDescent="0.3">
      <c r="A271" s="660"/>
      <c r="B271" s="659" t="s">
        <v>736</v>
      </c>
      <c r="C271" s="658">
        <f>+C262+C266+C267+C268+C270</f>
        <v>130139</v>
      </c>
      <c r="D271" s="658">
        <f t="shared" ref="D271:O271" si="155">+D262+D266+D267+D268+D270</f>
        <v>35088</v>
      </c>
      <c r="E271" s="658">
        <f t="shared" si="155"/>
        <v>24392</v>
      </c>
      <c r="F271" s="658">
        <f t="shared" si="155"/>
        <v>0</v>
      </c>
      <c r="G271" s="658">
        <f t="shared" si="155"/>
        <v>0</v>
      </c>
      <c r="H271" s="658">
        <f t="shared" si="155"/>
        <v>189619</v>
      </c>
      <c r="I271" s="658">
        <f t="shared" si="155"/>
        <v>1054</v>
      </c>
      <c r="J271" s="658">
        <f t="shared" si="155"/>
        <v>0</v>
      </c>
      <c r="K271" s="658">
        <f t="shared" si="155"/>
        <v>0</v>
      </c>
      <c r="L271" s="658">
        <f t="shared" si="155"/>
        <v>1054</v>
      </c>
      <c r="M271" s="658">
        <f t="shared" si="155"/>
        <v>190673</v>
      </c>
      <c r="N271" s="658">
        <f t="shared" si="155"/>
        <v>0</v>
      </c>
      <c r="O271" s="658">
        <f t="shared" si="155"/>
        <v>190673</v>
      </c>
    </row>
    <row r="272" spans="1:15" s="685" customFormat="1" ht="17.25" thickTop="1" thickBot="1" x14ac:dyDescent="0.3">
      <c r="A272" s="660"/>
      <c r="B272" s="659" t="s">
        <v>735</v>
      </c>
      <c r="C272" s="658">
        <f>+C263+C266+C267+C268</f>
        <v>128197</v>
      </c>
      <c r="D272" s="658">
        <f t="shared" ref="D272:O272" si="156">+D263+D266+D267+D268</f>
        <v>34419</v>
      </c>
      <c r="E272" s="658">
        <f t="shared" si="156"/>
        <v>24337</v>
      </c>
      <c r="F272" s="658">
        <f t="shared" si="156"/>
        <v>0</v>
      </c>
      <c r="G272" s="658">
        <f t="shared" si="156"/>
        <v>0</v>
      </c>
      <c r="H272" s="658">
        <f t="shared" si="156"/>
        <v>186953</v>
      </c>
      <c r="I272" s="658">
        <f t="shared" si="156"/>
        <v>1054</v>
      </c>
      <c r="J272" s="658">
        <f t="shared" si="156"/>
        <v>0</v>
      </c>
      <c r="K272" s="658">
        <f t="shared" si="156"/>
        <v>0</v>
      </c>
      <c r="L272" s="658">
        <f t="shared" si="156"/>
        <v>1054</v>
      </c>
      <c r="M272" s="658">
        <f t="shared" si="156"/>
        <v>188007</v>
      </c>
      <c r="N272" s="658">
        <f t="shared" si="156"/>
        <v>0</v>
      </c>
      <c r="O272" s="658">
        <f t="shared" si="156"/>
        <v>188007</v>
      </c>
    </row>
    <row r="273" spans="1:15" s="685" customFormat="1" ht="17.25" thickTop="1" thickBot="1" x14ac:dyDescent="0.3">
      <c r="A273" s="660"/>
      <c r="B273" s="659" t="s">
        <v>734</v>
      </c>
      <c r="C273" s="658">
        <f>+C264+C270</f>
        <v>1942</v>
      </c>
      <c r="D273" s="658">
        <f t="shared" ref="D273:O273" si="157">+D264+D270</f>
        <v>669</v>
      </c>
      <c r="E273" s="658">
        <f t="shared" si="157"/>
        <v>55</v>
      </c>
      <c r="F273" s="658">
        <f t="shared" si="157"/>
        <v>0</v>
      </c>
      <c r="G273" s="658">
        <f t="shared" si="157"/>
        <v>0</v>
      </c>
      <c r="H273" s="658">
        <f t="shared" si="157"/>
        <v>2666</v>
      </c>
      <c r="I273" s="658">
        <f t="shared" si="157"/>
        <v>0</v>
      </c>
      <c r="J273" s="658">
        <f t="shared" si="157"/>
        <v>0</v>
      </c>
      <c r="K273" s="658">
        <f t="shared" si="157"/>
        <v>0</v>
      </c>
      <c r="L273" s="658">
        <f t="shared" si="157"/>
        <v>0</v>
      </c>
      <c r="M273" s="658">
        <f t="shared" si="157"/>
        <v>2666</v>
      </c>
      <c r="N273" s="658">
        <f t="shared" si="157"/>
        <v>0</v>
      </c>
      <c r="O273" s="658">
        <f t="shared" si="157"/>
        <v>2666</v>
      </c>
    </row>
    <row r="274" spans="1:15" ht="16.5" thickTop="1" x14ac:dyDescent="0.25">
      <c r="A274" s="679" t="s">
        <v>13</v>
      </c>
      <c r="B274" s="636" t="s">
        <v>731</v>
      </c>
      <c r="C274" s="681"/>
      <c r="D274" s="677"/>
      <c r="E274" s="677"/>
      <c r="F274" s="682"/>
      <c r="G274" s="677"/>
      <c r="H274" s="674"/>
      <c r="I274" s="676"/>
      <c r="J274" s="675"/>
      <c r="K274" s="675"/>
      <c r="L274" s="674"/>
      <c r="M274" s="674"/>
      <c r="N274" s="674"/>
      <c r="O274" s="674"/>
    </row>
    <row r="275" spans="1:15" x14ac:dyDescent="0.25">
      <c r="A275" s="679"/>
      <c r="B275" s="627" t="s">
        <v>653</v>
      </c>
      <c r="C275" s="681">
        <v>145984</v>
      </c>
      <c r="D275" s="677">
        <v>40576</v>
      </c>
      <c r="E275" s="677">
        <v>92323</v>
      </c>
      <c r="F275" s="682"/>
      <c r="G275" s="677"/>
      <c r="H275" s="674">
        <f>SUM(C275:G275)</f>
        <v>278883</v>
      </c>
      <c r="I275" s="676"/>
      <c r="J275" s="675"/>
      <c r="K275" s="675"/>
      <c r="L275" s="674">
        <f>SUM(I275:K275)</f>
        <v>0</v>
      </c>
      <c r="M275" s="673">
        <f>SUM(H275+L275)</f>
        <v>278883</v>
      </c>
      <c r="N275" s="673"/>
      <c r="O275" s="673">
        <f>SUM(M275+N275)</f>
        <v>278883</v>
      </c>
    </row>
    <row r="276" spans="1:15" x14ac:dyDescent="0.25">
      <c r="A276" s="694"/>
      <c r="B276" s="680" t="s">
        <v>1151</v>
      </c>
      <c r="C276" s="712">
        <v>144842</v>
      </c>
      <c r="D276" s="692">
        <v>40182</v>
      </c>
      <c r="E276" s="692">
        <v>92268</v>
      </c>
      <c r="F276" s="703"/>
      <c r="G276" s="692"/>
      <c r="H276" s="687">
        <f>SUM(C276:G276)</f>
        <v>277292</v>
      </c>
      <c r="I276" s="689"/>
      <c r="J276" s="688"/>
      <c r="K276" s="688"/>
      <c r="L276" s="687">
        <f>SUM(I276:K276)</f>
        <v>0</v>
      </c>
      <c r="M276" s="686">
        <f>SUM(H276+L276)</f>
        <v>277292</v>
      </c>
      <c r="N276" s="686"/>
      <c r="O276" s="686">
        <f>SUM(M276+N276)</f>
        <v>277292</v>
      </c>
    </row>
    <row r="277" spans="1:15" x14ac:dyDescent="0.25">
      <c r="A277" s="694"/>
      <c r="B277" s="680" t="s">
        <v>737</v>
      </c>
      <c r="C277" s="712">
        <v>1142</v>
      </c>
      <c r="D277" s="692">
        <v>394</v>
      </c>
      <c r="E277" s="692">
        <v>55</v>
      </c>
      <c r="F277" s="703"/>
      <c r="G277" s="692"/>
      <c r="H277" s="687">
        <f>SUM(C277:G277)</f>
        <v>1591</v>
      </c>
      <c r="I277" s="689"/>
      <c r="J277" s="688"/>
      <c r="K277" s="688"/>
      <c r="L277" s="687">
        <f>SUM(I277:K277)</f>
        <v>0</v>
      </c>
      <c r="M277" s="686">
        <f>SUM(H277+L277)</f>
        <v>1591</v>
      </c>
      <c r="N277" s="686"/>
      <c r="O277" s="686">
        <f>SUM(M277+N277)</f>
        <v>1591</v>
      </c>
    </row>
    <row r="278" spans="1:15" x14ac:dyDescent="0.25">
      <c r="A278" s="694"/>
      <c r="B278" s="680" t="s">
        <v>178</v>
      </c>
      <c r="C278" s="712"/>
      <c r="D278" s="692"/>
      <c r="E278" s="692"/>
      <c r="F278" s="703"/>
      <c r="G278" s="692"/>
      <c r="H278" s="687"/>
      <c r="I278" s="689"/>
      <c r="J278" s="688"/>
      <c r="K278" s="688"/>
      <c r="L278" s="687"/>
      <c r="M278" s="686"/>
      <c r="N278" s="686"/>
      <c r="O278" s="686"/>
    </row>
    <row r="279" spans="1:15" s="685" customFormat="1" x14ac:dyDescent="0.25">
      <c r="A279" s="694"/>
      <c r="B279" s="637" t="s">
        <v>1110</v>
      </c>
      <c r="C279" s="732">
        <v>487</v>
      </c>
      <c r="D279" s="730">
        <v>131</v>
      </c>
      <c r="E279" s="692"/>
      <c r="F279" s="703"/>
      <c r="G279" s="692"/>
      <c r="H279" s="727">
        <f t="shared" ref="H279:H284" si="158">SUM(C279:G279)</f>
        <v>618</v>
      </c>
      <c r="I279" s="761"/>
      <c r="J279" s="731"/>
      <c r="K279" s="731"/>
      <c r="L279" s="727">
        <f t="shared" ref="L279:L284" si="159">SUM(I279:K279)</f>
        <v>0</v>
      </c>
      <c r="M279" s="726">
        <f t="shared" ref="M279:M284" si="160">SUM(H279+L279)</f>
        <v>618</v>
      </c>
      <c r="N279" s="726"/>
      <c r="O279" s="726">
        <f t="shared" ref="O279:O284" si="161">SUM(M279+N279)</f>
        <v>618</v>
      </c>
    </row>
    <row r="280" spans="1:15" s="685" customFormat="1" ht="31.5" x14ac:dyDescent="0.25">
      <c r="A280" s="694"/>
      <c r="B280" s="637" t="s">
        <v>1152</v>
      </c>
      <c r="C280" s="732">
        <v>969</v>
      </c>
      <c r="D280" s="730">
        <v>262</v>
      </c>
      <c r="E280" s="730"/>
      <c r="F280" s="703"/>
      <c r="G280" s="692"/>
      <c r="H280" s="727">
        <f t="shared" si="158"/>
        <v>1231</v>
      </c>
      <c r="I280" s="761"/>
      <c r="J280" s="731"/>
      <c r="K280" s="731"/>
      <c r="L280" s="727">
        <f t="shared" si="159"/>
        <v>0</v>
      </c>
      <c r="M280" s="726">
        <f t="shared" si="160"/>
        <v>1231</v>
      </c>
      <c r="N280" s="726"/>
      <c r="O280" s="726">
        <f t="shared" si="161"/>
        <v>1231</v>
      </c>
    </row>
    <row r="281" spans="1:15" s="685" customFormat="1" ht="31.5" x14ac:dyDescent="0.25">
      <c r="A281" s="694"/>
      <c r="B281" s="637" t="s">
        <v>1156</v>
      </c>
      <c r="C281" s="732"/>
      <c r="D281" s="730"/>
      <c r="E281" s="730">
        <v>-2680</v>
      </c>
      <c r="F281" s="730">
        <v>490</v>
      </c>
      <c r="G281" s="692"/>
      <c r="H281" s="727">
        <f t="shared" si="158"/>
        <v>-2190</v>
      </c>
      <c r="I281" s="761">
        <v>2190</v>
      </c>
      <c r="J281" s="731"/>
      <c r="K281" s="731"/>
      <c r="L281" s="727">
        <f t="shared" si="159"/>
        <v>2190</v>
      </c>
      <c r="M281" s="726">
        <f t="shared" si="160"/>
        <v>0</v>
      </c>
      <c r="N281" s="726"/>
      <c r="O281" s="726">
        <f t="shared" si="161"/>
        <v>0</v>
      </c>
    </row>
    <row r="282" spans="1:15" s="685" customFormat="1" ht="31.5" x14ac:dyDescent="0.25">
      <c r="A282" s="694"/>
      <c r="B282" s="637" t="s">
        <v>1157</v>
      </c>
      <c r="C282" s="732">
        <v>4168</v>
      </c>
      <c r="D282" s="730">
        <v>588</v>
      </c>
      <c r="E282" s="730">
        <v>2168</v>
      </c>
      <c r="F282" s="703"/>
      <c r="G282" s="692"/>
      <c r="H282" s="727">
        <f t="shared" si="158"/>
        <v>6924</v>
      </c>
      <c r="I282" s="761"/>
      <c r="J282" s="731"/>
      <c r="K282" s="731"/>
      <c r="L282" s="727">
        <f t="shared" si="159"/>
        <v>0</v>
      </c>
      <c r="M282" s="726">
        <f t="shared" si="160"/>
        <v>6924</v>
      </c>
      <c r="N282" s="726"/>
      <c r="O282" s="726">
        <f t="shared" si="161"/>
        <v>6924</v>
      </c>
    </row>
    <row r="283" spans="1:15" s="685" customFormat="1" x14ac:dyDescent="0.25">
      <c r="A283" s="694"/>
      <c r="B283" s="680" t="s">
        <v>179</v>
      </c>
      <c r="C283" s="712"/>
      <c r="D283" s="692"/>
      <c r="E283" s="692"/>
      <c r="F283" s="703"/>
      <c r="G283" s="692"/>
      <c r="H283" s="727"/>
      <c r="I283" s="761"/>
      <c r="J283" s="731"/>
      <c r="K283" s="731"/>
      <c r="L283" s="727"/>
      <c r="M283" s="726"/>
      <c r="N283" s="726"/>
      <c r="O283" s="726"/>
    </row>
    <row r="284" spans="1:15" s="685" customFormat="1" ht="16.5" thickBot="1" x14ac:dyDescent="0.3">
      <c r="A284" s="872"/>
      <c r="B284" s="864" t="s">
        <v>1111</v>
      </c>
      <c r="C284" s="866">
        <v>701</v>
      </c>
      <c r="D284" s="867">
        <v>251</v>
      </c>
      <c r="E284" s="867"/>
      <c r="F284" s="874"/>
      <c r="G284" s="873"/>
      <c r="H284" s="869">
        <f t="shared" si="158"/>
        <v>952</v>
      </c>
      <c r="I284" s="870"/>
      <c r="J284" s="868"/>
      <c r="K284" s="868"/>
      <c r="L284" s="869">
        <f t="shared" si="159"/>
        <v>0</v>
      </c>
      <c r="M284" s="869">
        <f t="shared" si="160"/>
        <v>952</v>
      </c>
      <c r="N284" s="869"/>
      <c r="O284" s="869">
        <f t="shared" si="161"/>
        <v>952</v>
      </c>
    </row>
    <row r="285" spans="1:15" s="685" customFormat="1" ht="17.25" thickTop="1" thickBot="1" x14ac:dyDescent="0.3">
      <c r="A285" s="660"/>
      <c r="B285" s="659" t="s">
        <v>736</v>
      </c>
      <c r="C285" s="658">
        <f>+C275+C279+C280+C281+C284+C282</f>
        <v>152309</v>
      </c>
      <c r="D285" s="658">
        <f t="shared" ref="D285:O285" si="162">+D275+D279+D280+D281+D284+D282</f>
        <v>41808</v>
      </c>
      <c r="E285" s="658">
        <f t="shared" si="162"/>
        <v>91811</v>
      </c>
      <c r="F285" s="658">
        <f t="shared" si="162"/>
        <v>490</v>
      </c>
      <c r="G285" s="658">
        <f t="shared" si="162"/>
        <v>0</v>
      </c>
      <c r="H285" s="658">
        <f t="shared" si="162"/>
        <v>286418</v>
      </c>
      <c r="I285" s="658">
        <f t="shared" si="162"/>
        <v>2190</v>
      </c>
      <c r="J285" s="658">
        <f t="shared" si="162"/>
        <v>0</v>
      </c>
      <c r="K285" s="658">
        <f t="shared" si="162"/>
        <v>0</v>
      </c>
      <c r="L285" s="658">
        <f t="shared" si="162"/>
        <v>2190</v>
      </c>
      <c r="M285" s="658">
        <f t="shared" si="162"/>
        <v>288608</v>
      </c>
      <c r="N285" s="658">
        <f t="shared" si="162"/>
        <v>0</v>
      </c>
      <c r="O285" s="658">
        <f t="shared" si="162"/>
        <v>288608</v>
      </c>
    </row>
    <row r="286" spans="1:15" s="685" customFormat="1" ht="17.25" thickTop="1" thickBot="1" x14ac:dyDescent="0.3">
      <c r="A286" s="660"/>
      <c r="B286" s="659" t="s">
        <v>735</v>
      </c>
      <c r="C286" s="658">
        <f>+C276+C279+C280+C281+C282</f>
        <v>150466</v>
      </c>
      <c r="D286" s="658">
        <f t="shared" ref="D286:O286" si="163">+D276+D279+D280+D281+D282</f>
        <v>41163</v>
      </c>
      <c r="E286" s="658">
        <f t="shared" si="163"/>
        <v>91756</v>
      </c>
      <c r="F286" s="658">
        <f t="shared" si="163"/>
        <v>490</v>
      </c>
      <c r="G286" s="658">
        <f t="shared" si="163"/>
        <v>0</v>
      </c>
      <c r="H286" s="658">
        <f t="shared" si="163"/>
        <v>283875</v>
      </c>
      <c r="I286" s="658">
        <f t="shared" si="163"/>
        <v>2190</v>
      </c>
      <c r="J286" s="658">
        <f t="shared" si="163"/>
        <v>0</v>
      </c>
      <c r="K286" s="658">
        <f t="shared" si="163"/>
        <v>0</v>
      </c>
      <c r="L286" s="658">
        <f t="shared" si="163"/>
        <v>2190</v>
      </c>
      <c r="M286" s="658">
        <f t="shared" si="163"/>
        <v>286065</v>
      </c>
      <c r="N286" s="658">
        <f t="shared" si="163"/>
        <v>0</v>
      </c>
      <c r="O286" s="658">
        <f t="shared" si="163"/>
        <v>286065</v>
      </c>
    </row>
    <row r="287" spans="1:15" s="685" customFormat="1" ht="17.25" thickTop="1" thickBot="1" x14ac:dyDescent="0.3">
      <c r="A287" s="660"/>
      <c r="B287" s="659" t="s">
        <v>734</v>
      </c>
      <c r="C287" s="658">
        <f>+C277+C284</f>
        <v>1843</v>
      </c>
      <c r="D287" s="658">
        <f t="shared" ref="D287:O287" si="164">+D277+D284</f>
        <v>645</v>
      </c>
      <c r="E287" s="658">
        <f t="shared" si="164"/>
        <v>55</v>
      </c>
      <c r="F287" s="658">
        <f t="shared" si="164"/>
        <v>0</v>
      </c>
      <c r="G287" s="658">
        <f t="shared" si="164"/>
        <v>0</v>
      </c>
      <c r="H287" s="658">
        <f t="shared" si="164"/>
        <v>2543</v>
      </c>
      <c r="I287" s="658">
        <f t="shared" si="164"/>
        <v>0</v>
      </c>
      <c r="J287" s="658">
        <f t="shared" si="164"/>
        <v>0</v>
      </c>
      <c r="K287" s="658">
        <f t="shared" si="164"/>
        <v>0</v>
      </c>
      <c r="L287" s="658">
        <f t="shared" si="164"/>
        <v>0</v>
      </c>
      <c r="M287" s="658">
        <f t="shared" si="164"/>
        <v>2543</v>
      </c>
      <c r="N287" s="658">
        <f t="shared" si="164"/>
        <v>0</v>
      </c>
      <c r="O287" s="658">
        <f t="shared" si="164"/>
        <v>2543</v>
      </c>
    </row>
    <row r="288" spans="1:15" s="685" customFormat="1" ht="17.25" thickTop="1" thickBot="1" x14ac:dyDescent="0.3">
      <c r="A288" s="660"/>
      <c r="B288" s="659" t="s">
        <v>752</v>
      </c>
      <c r="C288" s="658">
        <f t="shared" ref="C288:O288" si="165">SUM(C258+C271+C285)</f>
        <v>761630</v>
      </c>
      <c r="D288" s="658">
        <f t="shared" si="165"/>
        <v>214249</v>
      </c>
      <c r="E288" s="658">
        <f t="shared" si="165"/>
        <v>510332</v>
      </c>
      <c r="F288" s="658">
        <f t="shared" si="165"/>
        <v>498</v>
      </c>
      <c r="G288" s="658">
        <f t="shared" si="165"/>
        <v>0</v>
      </c>
      <c r="H288" s="658">
        <f t="shared" si="165"/>
        <v>1486709</v>
      </c>
      <c r="I288" s="658">
        <f t="shared" si="165"/>
        <v>3244</v>
      </c>
      <c r="J288" s="658">
        <f t="shared" si="165"/>
        <v>0</v>
      </c>
      <c r="K288" s="658">
        <f t="shared" si="165"/>
        <v>0</v>
      </c>
      <c r="L288" s="658">
        <f t="shared" si="165"/>
        <v>3244</v>
      </c>
      <c r="M288" s="658">
        <f t="shared" si="165"/>
        <v>1489953</v>
      </c>
      <c r="N288" s="658">
        <f t="shared" si="165"/>
        <v>0</v>
      </c>
      <c r="O288" s="658">
        <f t="shared" si="165"/>
        <v>1489953</v>
      </c>
    </row>
    <row r="289" spans="1:15" ht="16.5" thickTop="1" x14ac:dyDescent="0.25">
      <c r="A289" s="672" t="s">
        <v>14</v>
      </c>
      <c r="B289" s="723" t="s">
        <v>751</v>
      </c>
      <c r="C289" s="722"/>
      <c r="D289" s="720"/>
      <c r="E289" s="720"/>
      <c r="F289" s="719"/>
      <c r="G289" s="720"/>
      <c r="H289" s="718"/>
      <c r="I289" s="721"/>
      <c r="J289" s="720"/>
      <c r="K289" s="719"/>
      <c r="L289" s="718"/>
      <c r="M289" s="718"/>
      <c r="N289" s="718"/>
      <c r="O289" s="718"/>
    </row>
    <row r="290" spans="1:15" x14ac:dyDescent="0.25">
      <c r="A290" s="679"/>
      <c r="B290" s="717" t="s">
        <v>653</v>
      </c>
      <c r="C290" s="678">
        <v>594899</v>
      </c>
      <c r="D290" s="695">
        <v>173207</v>
      </c>
      <c r="E290" s="695">
        <v>1541381</v>
      </c>
      <c r="F290" s="695"/>
      <c r="G290" s="695"/>
      <c r="H290" s="674">
        <f>SUM(C290:G290)</f>
        <v>2309487</v>
      </c>
      <c r="I290" s="676"/>
      <c r="J290" s="675"/>
      <c r="K290" s="675"/>
      <c r="L290" s="674">
        <f>SUM(I290:K290)</f>
        <v>0</v>
      </c>
      <c r="M290" s="673">
        <f>SUM(H290+L290)</f>
        <v>2309487</v>
      </c>
      <c r="N290" s="673"/>
      <c r="O290" s="673">
        <f>SUM(M290+N290)</f>
        <v>2309487</v>
      </c>
    </row>
    <row r="291" spans="1:15" x14ac:dyDescent="0.25">
      <c r="A291" s="694"/>
      <c r="B291" s="680" t="s">
        <v>1151</v>
      </c>
      <c r="C291" s="693">
        <v>588734</v>
      </c>
      <c r="D291" s="690">
        <v>171079</v>
      </c>
      <c r="E291" s="690">
        <v>1540336</v>
      </c>
      <c r="F291" s="690"/>
      <c r="G291" s="690"/>
      <c r="H291" s="687">
        <f>SUM(C291:G291)</f>
        <v>2300149</v>
      </c>
      <c r="I291" s="689"/>
      <c r="J291" s="688"/>
      <c r="K291" s="688"/>
      <c r="L291" s="687">
        <f>SUM(I291:K291)</f>
        <v>0</v>
      </c>
      <c r="M291" s="686">
        <f>SUM(H291+L291)</f>
        <v>2300149</v>
      </c>
      <c r="N291" s="686"/>
      <c r="O291" s="686">
        <f>SUM(M291+N291)</f>
        <v>2300149</v>
      </c>
    </row>
    <row r="292" spans="1:15" x14ac:dyDescent="0.25">
      <c r="A292" s="694"/>
      <c r="B292" s="680" t="s">
        <v>737</v>
      </c>
      <c r="C292" s="693">
        <v>6165</v>
      </c>
      <c r="D292" s="690">
        <v>2128</v>
      </c>
      <c r="E292" s="690">
        <v>1045</v>
      </c>
      <c r="F292" s="690"/>
      <c r="G292" s="690"/>
      <c r="H292" s="687">
        <f>SUM(C292:G292)</f>
        <v>9338</v>
      </c>
      <c r="I292" s="689"/>
      <c r="J292" s="688"/>
      <c r="K292" s="688"/>
      <c r="L292" s="687">
        <f>SUM(I292:K292)</f>
        <v>0</v>
      </c>
      <c r="M292" s="686">
        <f>SUM(H292+L292)</f>
        <v>9338</v>
      </c>
      <c r="N292" s="686"/>
      <c r="O292" s="686">
        <f>SUM(M292+N292)</f>
        <v>9338</v>
      </c>
    </row>
    <row r="293" spans="1:15" x14ac:dyDescent="0.25">
      <c r="A293" s="694"/>
      <c r="B293" s="680" t="s">
        <v>178</v>
      </c>
      <c r="C293" s="693"/>
      <c r="D293" s="690"/>
      <c r="E293" s="690"/>
      <c r="F293" s="690"/>
      <c r="G293" s="690"/>
      <c r="H293" s="687"/>
      <c r="I293" s="689"/>
      <c r="J293" s="688"/>
      <c r="K293" s="688"/>
      <c r="L293" s="687"/>
      <c r="M293" s="686"/>
      <c r="N293" s="686"/>
      <c r="O293" s="686"/>
    </row>
    <row r="294" spans="1:15" s="685" customFormat="1" x14ac:dyDescent="0.25">
      <c r="A294" s="694"/>
      <c r="B294" s="637" t="s">
        <v>1110</v>
      </c>
      <c r="C294" s="858">
        <v>2525</v>
      </c>
      <c r="D294" s="859">
        <v>682</v>
      </c>
      <c r="E294" s="690"/>
      <c r="F294" s="690"/>
      <c r="G294" s="690"/>
      <c r="H294" s="727">
        <f t="shared" ref="H294:H297" si="166">SUM(C294:G294)</f>
        <v>3207</v>
      </c>
      <c r="I294" s="761"/>
      <c r="J294" s="731"/>
      <c r="K294" s="731"/>
      <c r="L294" s="727">
        <f t="shared" ref="L294:L297" si="167">SUM(I294:K294)</f>
        <v>0</v>
      </c>
      <c r="M294" s="726">
        <f t="shared" ref="M294:M297" si="168">SUM(H294+L294)</f>
        <v>3207</v>
      </c>
      <c r="N294" s="726"/>
      <c r="O294" s="726">
        <f t="shared" ref="O294:O297" si="169">SUM(M294+N294)</f>
        <v>3207</v>
      </c>
    </row>
    <row r="295" spans="1:15" s="685" customFormat="1" x14ac:dyDescent="0.25">
      <c r="A295" s="694"/>
      <c r="B295" s="637" t="s">
        <v>942</v>
      </c>
      <c r="C295" s="858">
        <v>222</v>
      </c>
      <c r="D295" s="859">
        <v>60</v>
      </c>
      <c r="E295" s="859"/>
      <c r="F295" s="690"/>
      <c r="G295" s="690"/>
      <c r="H295" s="727">
        <f t="shared" si="166"/>
        <v>282</v>
      </c>
      <c r="I295" s="761"/>
      <c r="J295" s="731"/>
      <c r="K295" s="731"/>
      <c r="L295" s="727">
        <f t="shared" si="167"/>
        <v>0</v>
      </c>
      <c r="M295" s="726">
        <f t="shared" si="168"/>
        <v>282</v>
      </c>
      <c r="N295" s="726"/>
      <c r="O295" s="726">
        <f t="shared" si="169"/>
        <v>282</v>
      </c>
    </row>
    <row r="296" spans="1:15" s="685" customFormat="1" ht="31.5" x14ac:dyDescent="0.25">
      <c r="A296" s="694"/>
      <c r="B296" s="637" t="s">
        <v>941</v>
      </c>
      <c r="C296" s="858">
        <v>351</v>
      </c>
      <c r="D296" s="859">
        <v>95</v>
      </c>
      <c r="E296" s="859"/>
      <c r="F296" s="690"/>
      <c r="G296" s="690"/>
      <c r="H296" s="727">
        <f t="shared" si="166"/>
        <v>446</v>
      </c>
      <c r="I296" s="761"/>
      <c r="J296" s="731"/>
      <c r="K296" s="731"/>
      <c r="L296" s="727">
        <f t="shared" si="167"/>
        <v>0</v>
      </c>
      <c r="M296" s="726">
        <f t="shared" si="168"/>
        <v>446</v>
      </c>
      <c r="N296" s="726"/>
      <c r="O296" s="726">
        <f t="shared" si="169"/>
        <v>446</v>
      </c>
    </row>
    <row r="297" spans="1:15" s="685" customFormat="1" ht="31.5" x14ac:dyDescent="0.25">
      <c r="A297" s="694"/>
      <c r="B297" s="637" t="s">
        <v>1156</v>
      </c>
      <c r="C297" s="858"/>
      <c r="D297" s="859"/>
      <c r="E297" s="859">
        <v>-11384</v>
      </c>
      <c r="F297" s="690"/>
      <c r="G297" s="690"/>
      <c r="H297" s="727">
        <f t="shared" si="166"/>
        <v>-11384</v>
      </c>
      <c r="I297" s="761">
        <v>7426</v>
      </c>
      <c r="J297" s="731">
        <v>3958</v>
      </c>
      <c r="K297" s="731"/>
      <c r="L297" s="727">
        <f t="shared" si="167"/>
        <v>11384</v>
      </c>
      <c r="M297" s="726">
        <f t="shared" si="168"/>
        <v>0</v>
      </c>
      <c r="N297" s="726"/>
      <c r="O297" s="726">
        <f t="shared" si="169"/>
        <v>0</v>
      </c>
    </row>
    <row r="298" spans="1:15" s="685" customFormat="1" x14ac:dyDescent="0.25">
      <c r="A298" s="694"/>
      <c r="B298" s="680" t="s">
        <v>179</v>
      </c>
      <c r="C298" s="693"/>
      <c r="D298" s="690"/>
      <c r="E298" s="690"/>
      <c r="F298" s="690"/>
      <c r="G298" s="690"/>
      <c r="H298" s="727"/>
      <c r="I298" s="761"/>
      <c r="J298" s="731"/>
      <c r="K298" s="731"/>
      <c r="L298" s="727"/>
      <c r="M298" s="726"/>
      <c r="N298" s="726"/>
      <c r="O298" s="726"/>
    </row>
    <row r="299" spans="1:15" s="685" customFormat="1" ht="16.5" thickBot="1" x14ac:dyDescent="0.3">
      <c r="A299" s="694"/>
      <c r="B299" s="637" t="s">
        <v>1111</v>
      </c>
      <c r="C299" s="858">
        <v>4477</v>
      </c>
      <c r="D299" s="859">
        <v>1545</v>
      </c>
      <c r="E299" s="859"/>
      <c r="F299" s="690"/>
      <c r="G299" s="690"/>
      <c r="H299" s="727">
        <f>SUM(C299:G299)</f>
        <v>6022</v>
      </c>
      <c r="I299" s="761"/>
      <c r="J299" s="731"/>
      <c r="K299" s="731"/>
      <c r="L299" s="727">
        <f>SUM(I299:K299)</f>
        <v>0</v>
      </c>
      <c r="M299" s="726">
        <f>L299+H299</f>
        <v>6022</v>
      </c>
      <c r="N299" s="726"/>
      <c r="O299" s="726">
        <f>SUM(M299:N299)</f>
        <v>6022</v>
      </c>
    </row>
    <row r="300" spans="1:15" s="685" customFormat="1" ht="17.25" thickTop="1" thickBot="1" x14ac:dyDescent="0.3">
      <c r="A300" s="660"/>
      <c r="B300" s="659" t="s">
        <v>736</v>
      </c>
      <c r="C300" s="658">
        <f>+C290+C294+C295+C299+C296+C297</f>
        <v>602474</v>
      </c>
      <c r="D300" s="658">
        <f t="shared" ref="D300:O300" si="170">+D290+D294+D295+D299+D296+D297</f>
        <v>175589</v>
      </c>
      <c r="E300" s="658">
        <f t="shared" si="170"/>
        <v>1529997</v>
      </c>
      <c r="F300" s="658">
        <f t="shared" si="170"/>
        <v>0</v>
      </c>
      <c r="G300" s="658">
        <f t="shared" si="170"/>
        <v>0</v>
      </c>
      <c r="H300" s="658">
        <f t="shared" si="170"/>
        <v>2308060</v>
      </c>
      <c r="I300" s="658">
        <f t="shared" si="170"/>
        <v>7426</v>
      </c>
      <c r="J300" s="658">
        <f t="shared" si="170"/>
        <v>3958</v>
      </c>
      <c r="K300" s="658">
        <f t="shared" si="170"/>
        <v>0</v>
      </c>
      <c r="L300" s="658">
        <f t="shared" si="170"/>
        <v>11384</v>
      </c>
      <c r="M300" s="658">
        <f t="shared" si="170"/>
        <v>2319444</v>
      </c>
      <c r="N300" s="658">
        <f t="shared" si="170"/>
        <v>0</v>
      </c>
      <c r="O300" s="658">
        <f t="shared" si="170"/>
        <v>2319444</v>
      </c>
    </row>
    <row r="301" spans="1:15" s="685" customFormat="1" ht="17.25" thickTop="1" thickBot="1" x14ac:dyDescent="0.3">
      <c r="A301" s="660"/>
      <c r="B301" s="659" t="s">
        <v>735</v>
      </c>
      <c r="C301" s="658">
        <f>++C291+C294+C295+C296+C297</f>
        <v>591832</v>
      </c>
      <c r="D301" s="658">
        <f t="shared" ref="D301:O301" si="171">++D291+D294+D295+D296+D297</f>
        <v>171916</v>
      </c>
      <c r="E301" s="658">
        <f t="shared" si="171"/>
        <v>1528952</v>
      </c>
      <c r="F301" s="658">
        <f t="shared" si="171"/>
        <v>0</v>
      </c>
      <c r="G301" s="658">
        <f t="shared" si="171"/>
        <v>0</v>
      </c>
      <c r="H301" s="658">
        <f t="shared" si="171"/>
        <v>2292700</v>
      </c>
      <c r="I301" s="658">
        <f t="shared" si="171"/>
        <v>7426</v>
      </c>
      <c r="J301" s="658">
        <f t="shared" si="171"/>
        <v>3958</v>
      </c>
      <c r="K301" s="658">
        <f t="shared" si="171"/>
        <v>0</v>
      </c>
      <c r="L301" s="658">
        <f t="shared" si="171"/>
        <v>11384</v>
      </c>
      <c r="M301" s="658">
        <f t="shared" si="171"/>
        <v>2304084</v>
      </c>
      <c r="N301" s="658">
        <f t="shared" si="171"/>
        <v>0</v>
      </c>
      <c r="O301" s="658">
        <f t="shared" si="171"/>
        <v>2304084</v>
      </c>
    </row>
    <row r="302" spans="1:15" s="685" customFormat="1" ht="17.25" thickTop="1" thickBot="1" x14ac:dyDescent="0.3">
      <c r="A302" s="660"/>
      <c r="B302" s="659" t="s">
        <v>734</v>
      </c>
      <c r="C302" s="658">
        <f>+C292+C299</f>
        <v>10642</v>
      </c>
      <c r="D302" s="658">
        <f t="shared" ref="D302:O302" si="172">+D292+D299</f>
        <v>3673</v>
      </c>
      <c r="E302" s="658">
        <f t="shared" si="172"/>
        <v>1045</v>
      </c>
      <c r="F302" s="658">
        <f t="shared" si="172"/>
        <v>0</v>
      </c>
      <c r="G302" s="658">
        <f t="shared" si="172"/>
        <v>0</v>
      </c>
      <c r="H302" s="658">
        <f t="shared" si="172"/>
        <v>15360</v>
      </c>
      <c r="I302" s="658">
        <f t="shared" si="172"/>
        <v>0</v>
      </c>
      <c r="J302" s="658">
        <f t="shared" si="172"/>
        <v>0</v>
      </c>
      <c r="K302" s="658">
        <f t="shared" si="172"/>
        <v>0</v>
      </c>
      <c r="L302" s="658">
        <f t="shared" si="172"/>
        <v>0</v>
      </c>
      <c r="M302" s="658">
        <f t="shared" si="172"/>
        <v>15360</v>
      </c>
      <c r="N302" s="658">
        <f t="shared" si="172"/>
        <v>0</v>
      </c>
      <c r="O302" s="658">
        <f t="shared" si="172"/>
        <v>15360</v>
      </c>
    </row>
    <row r="303" spans="1:15" s="685" customFormat="1" ht="16.5" thickTop="1" x14ac:dyDescent="0.25">
      <c r="A303" s="672" t="s">
        <v>15</v>
      </c>
      <c r="B303" s="724" t="s">
        <v>750</v>
      </c>
      <c r="C303" s="671"/>
      <c r="D303" s="670"/>
      <c r="E303" s="670"/>
      <c r="F303" s="668"/>
      <c r="G303" s="670"/>
      <c r="H303" s="667"/>
      <c r="I303" s="669"/>
      <c r="J303" s="668"/>
      <c r="K303" s="668"/>
      <c r="L303" s="667"/>
      <c r="M303" s="667"/>
      <c r="N303" s="667"/>
      <c r="O303" s="667"/>
    </row>
    <row r="304" spans="1:15" x14ac:dyDescent="0.25">
      <c r="A304" s="679"/>
      <c r="B304" s="627" t="s">
        <v>653</v>
      </c>
      <c r="C304" s="678">
        <v>31248</v>
      </c>
      <c r="D304" s="695">
        <v>8327</v>
      </c>
      <c r="E304" s="677">
        <v>28767</v>
      </c>
      <c r="F304" s="696"/>
      <c r="G304" s="695"/>
      <c r="H304" s="674">
        <f>SUM(C304:G304)</f>
        <v>68342</v>
      </c>
      <c r="I304" s="676"/>
      <c r="J304" s="675"/>
      <c r="K304" s="675"/>
      <c r="L304" s="674">
        <f>SUM(I304:K304)</f>
        <v>0</v>
      </c>
      <c r="M304" s="673">
        <f>SUM(H304+L304)</f>
        <v>68342</v>
      </c>
      <c r="N304" s="673"/>
      <c r="O304" s="673">
        <f>SUM(M304+N304)</f>
        <v>68342</v>
      </c>
    </row>
    <row r="305" spans="1:15" x14ac:dyDescent="0.25">
      <c r="A305" s="694"/>
      <c r="B305" s="680" t="s">
        <v>744</v>
      </c>
      <c r="C305" s="693">
        <v>31248</v>
      </c>
      <c r="D305" s="690">
        <v>8327</v>
      </c>
      <c r="E305" s="692">
        <v>28767</v>
      </c>
      <c r="F305" s="691"/>
      <c r="G305" s="690"/>
      <c r="H305" s="687">
        <f>SUM(C305:G305)</f>
        <v>68342</v>
      </c>
      <c r="I305" s="689"/>
      <c r="J305" s="688"/>
      <c r="K305" s="688"/>
      <c r="L305" s="687">
        <f>SUM(I305:K305)</f>
        <v>0</v>
      </c>
      <c r="M305" s="686">
        <f>SUM(H305+L305)</f>
        <v>68342</v>
      </c>
      <c r="N305" s="686"/>
      <c r="O305" s="686">
        <f>SUM(M305+N305)</f>
        <v>68342</v>
      </c>
    </row>
    <row r="306" spans="1:15" x14ac:dyDescent="0.25">
      <c r="A306" s="679"/>
      <c r="B306" s="680" t="s">
        <v>179</v>
      </c>
      <c r="C306" s="678"/>
      <c r="D306" s="695"/>
      <c r="E306" s="677"/>
      <c r="F306" s="696"/>
      <c r="G306" s="695"/>
      <c r="H306" s="687"/>
      <c r="I306" s="676"/>
      <c r="J306" s="675"/>
      <c r="K306" s="675"/>
      <c r="L306" s="687"/>
      <c r="M306" s="686"/>
      <c r="N306" s="673"/>
      <c r="O306" s="686"/>
    </row>
    <row r="307" spans="1:15" x14ac:dyDescent="0.25">
      <c r="A307" s="694"/>
      <c r="B307" s="637" t="s">
        <v>1110</v>
      </c>
      <c r="C307" s="858">
        <v>43</v>
      </c>
      <c r="D307" s="859">
        <v>12</v>
      </c>
      <c r="E307" s="692"/>
      <c r="F307" s="691"/>
      <c r="G307" s="690"/>
      <c r="H307" s="727">
        <f t="shared" ref="H307:H312" si="173">SUM(C307:G307)</f>
        <v>55</v>
      </c>
      <c r="I307" s="761"/>
      <c r="J307" s="731"/>
      <c r="K307" s="731"/>
      <c r="L307" s="727">
        <f t="shared" ref="L307:L312" si="174">SUM(I307:K307)</f>
        <v>0</v>
      </c>
      <c r="M307" s="726">
        <f t="shared" ref="M307:M312" si="175">SUM(H307+L307)</f>
        <v>55</v>
      </c>
      <c r="N307" s="726"/>
      <c r="O307" s="726">
        <f t="shared" ref="O307:O312" si="176">SUM(M307+N307)</f>
        <v>55</v>
      </c>
    </row>
    <row r="308" spans="1:15" x14ac:dyDescent="0.25">
      <c r="A308" s="679"/>
      <c r="B308" s="637" t="s">
        <v>1111</v>
      </c>
      <c r="C308" s="678">
        <v>173</v>
      </c>
      <c r="D308" s="695">
        <v>60</v>
      </c>
      <c r="E308" s="677"/>
      <c r="F308" s="696"/>
      <c r="G308" s="695"/>
      <c r="H308" s="727">
        <f t="shared" si="173"/>
        <v>233</v>
      </c>
      <c r="I308" s="761"/>
      <c r="J308" s="731"/>
      <c r="K308" s="731"/>
      <c r="L308" s="727">
        <f t="shared" si="174"/>
        <v>0</v>
      </c>
      <c r="M308" s="726">
        <f t="shared" si="175"/>
        <v>233</v>
      </c>
      <c r="N308" s="726"/>
      <c r="O308" s="726">
        <f t="shared" si="176"/>
        <v>233</v>
      </c>
    </row>
    <row r="309" spans="1:15" s="685" customFormat="1" ht="31.5" x14ac:dyDescent="0.25">
      <c r="A309" s="733"/>
      <c r="B309" s="637" t="s">
        <v>941</v>
      </c>
      <c r="C309" s="858">
        <v>129</v>
      </c>
      <c r="D309" s="859">
        <v>35</v>
      </c>
      <c r="E309" s="730"/>
      <c r="F309" s="860"/>
      <c r="G309" s="859"/>
      <c r="H309" s="727">
        <f t="shared" si="173"/>
        <v>164</v>
      </c>
      <c r="I309" s="761"/>
      <c r="J309" s="731"/>
      <c r="K309" s="731"/>
      <c r="L309" s="727">
        <f t="shared" si="174"/>
        <v>0</v>
      </c>
      <c r="M309" s="726">
        <f t="shared" si="175"/>
        <v>164</v>
      </c>
      <c r="N309" s="726"/>
      <c r="O309" s="726">
        <f t="shared" si="176"/>
        <v>164</v>
      </c>
    </row>
    <row r="310" spans="1:15" s="685" customFormat="1" ht="63" x14ac:dyDescent="0.25">
      <c r="A310" s="733"/>
      <c r="B310" s="637" t="s">
        <v>1158</v>
      </c>
      <c r="C310" s="858"/>
      <c r="D310" s="859"/>
      <c r="E310" s="730">
        <v>58</v>
      </c>
      <c r="F310" s="860"/>
      <c r="G310" s="859"/>
      <c r="H310" s="727">
        <f t="shared" si="173"/>
        <v>58</v>
      </c>
      <c r="I310" s="761"/>
      <c r="J310" s="731"/>
      <c r="K310" s="731"/>
      <c r="L310" s="727">
        <f t="shared" si="174"/>
        <v>0</v>
      </c>
      <c r="M310" s="726">
        <f t="shared" si="175"/>
        <v>58</v>
      </c>
      <c r="N310" s="726"/>
      <c r="O310" s="726">
        <f t="shared" si="176"/>
        <v>58</v>
      </c>
    </row>
    <row r="311" spans="1:15" s="685" customFormat="1" ht="31.5" x14ac:dyDescent="0.25">
      <c r="A311" s="679"/>
      <c r="B311" s="637" t="s">
        <v>1156</v>
      </c>
      <c r="C311" s="678"/>
      <c r="D311" s="695"/>
      <c r="E311" s="677">
        <v>-86</v>
      </c>
      <c r="F311" s="696"/>
      <c r="G311" s="695"/>
      <c r="H311" s="727">
        <f t="shared" si="173"/>
        <v>-86</v>
      </c>
      <c r="I311" s="761">
        <v>86</v>
      </c>
      <c r="J311" s="731"/>
      <c r="K311" s="731"/>
      <c r="L311" s="727">
        <f t="shared" si="174"/>
        <v>86</v>
      </c>
      <c r="M311" s="726">
        <f t="shared" si="175"/>
        <v>0</v>
      </c>
      <c r="N311" s="726"/>
      <c r="O311" s="726">
        <f t="shared" si="176"/>
        <v>0</v>
      </c>
    </row>
    <row r="312" spans="1:15" s="685" customFormat="1" ht="32.25" thickBot="1" x14ac:dyDescent="0.3">
      <c r="A312" s="679"/>
      <c r="B312" s="637" t="s">
        <v>1157</v>
      </c>
      <c r="C312" s="678"/>
      <c r="D312" s="695"/>
      <c r="E312" s="677">
        <v>300</v>
      </c>
      <c r="F312" s="696"/>
      <c r="G312" s="695"/>
      <c r="H312" s="727">
        <f t="shared" si="173"/>
        <v>300</v>
      </c>
      <c r="I312" s="761"/>
      <c r="J312" s="731"/>
      <c r="K312" s="731"/>
      <c r="L312" s="727">
        <f t="shared" si="174"/>
        <v>0</v>
      </c>
      <c r="M312" s="726">
        <f t="shared" si="175"/>
        <v>300</v>
      </c>
      <c r="N312" s="726"/>
      <c r="O312" s="726">
        <f t="shared" si="176"/>
        <v>300</v>
      </c>
    </row>
    <row r="313" spans="1:15" s="685" customFormat="1" ht="17.25" thickTop="1" thickBot="1" x14ac:dyDescent="0.3">
      <c r="A313" s="660"/>
      <c r="B313" s="716" t="s">
        <v>736</v>
      </c>
      <c r="C313" s="661">
        <f>+C304+C307+C308+C309+C310+C311+C312</f>
        <v>31593</v>
      </c>
      <c r="D313" s="661">
        <f t="shared" ref="D313:O313" si="177">+D304+D307+D308+D309+D310+D311+D312</f>
        <v>8434</v>
      </c>
      <c r="E313" s="661">
        <f t="shared" si="177"/>
        <v>29039</v>
      </c>
      <c r="F313" s="661">
        <f t="shared" si="177"/>
        <v>0</v>
      </c>
      <c r="G313" s="661">
        <f t="shared" si="177"/>
        <v>0</v>
      </c>
      <c r="H313" s="661">
        <f t="shared" si="177"/>
        <v>69066</v>
      </c>
      <c r="I313" s="661">
        <f t="shared" si="177"/>
        <v>86</v>
      </c>
      <c r="J313" s="661">
        <f t="shared" si="177"/>
        <v>0</v>
      </c>
      <c r="K313" s="661">
        <f t="shared" si="177"/>
        <v>0</v>
      </c>
      <c r="L313" s="661">
        <f t="shared" si="177"/>
        <v>86</v>
      </c>
      <c r="M313" s="661">
        <f t="shared" si="177"/>
        <v>69152</v>
      </c>
      <c r="N313" s="661">
        <f t="shared" si="177"/>
        <v>0</v>
      </c>
      <c r="O313" s="661">
        <f t="shared" si="177"/>
        <v>69152</v>
      </c>
    </row>
    <row r="314" spans="1:15" s="685" customFormat="1" ht="17.25" thickTop="1" thickBot="1" x14ac:dyDescent="0.3">
      <c r="A314" s="660"/>
      <c r="B314" s="659" t="s">
        <v>743</v>
      </c>
      <c r="C314" s="658">
        <f>+C305+C307+C308+C309+C310+C311+C312</f>
        <v>31593</v>
      </c>
      <c r="D314" s="658">
        <f t="shared" ref="D314:O314" si="178">+D305+D307+D308+D309+D310+D311+D312</f>
        <v>8434</v>
      </c>
      <c r="E314" s="658">
        <f t="shared" si="178"/>
        <v>29039</v>
      </c>
      <c r="F314" s="658">
        <f t="shared" si="178"/>
        <v>0</v>
      </c>
      <c r="G314" s="658">
        <f t="shared" si="178"/>
        <v>0</v>
      </c>
      <c r="H314" s="658">
        <f t="shared" si="178"/>
        <v>69066</v>
      </c>
      <c r="I314" s="658">
        <f t="shared" si="178"/>
        <v>86</v>
      </c>
      <c r="J314" s="658">
        <f t="shared" si="178"/>
        <v>0</v>
      </c>
      <c r="K314" s="658">
        <f t="shared" si="178"/>
        <v>0</v>
      </c>
      <c r="L314" s="658">
        <f t="shared" si="178"/>
        <v>86</v>
      </c>
      <c r="M314" s="658">
        <f t="shared" si="178"/>
        <v>69152</v>
      </c>
      <c r="N314" s="658">
        <f t="shared" si="178"/>
        <v>0</v>
      </c>
      <c r="O314" s="658">
        <f t="shared" si="178"/>
        <v>69152</v>
      </c>
    </row>
    <row r="315" spans="1:15" s="685" customFormat="1" ht="16.5" thickTop="1" x14ac:dyDescent="0.25">
      <c r="A315" s="672" t="s">
        <v>16</v>
      </c>
      <c r="B315" s="724" t="s">
        <v>749</v>
      </c>
      <c r="C315" s="671"/>
      <c r="D315" s="670"/>
      <c r="E315" s="670"/>
      <c r="F315" s="668"/>
      <c r="G315" s="670"/>
      <c r="H315" s="667"/>
      <c r="I315" s="669"/>
      <c r="J315" s="668"/>
      <c r="K315" s="668"/>
      <c r="L315" s="667"/>
      <c r="M315" s="667"/>
      <c r="N315" s="667"/>
      <c r="O315" s="667"/>
    </row>
    <row r="316" spans="1:15" s="685" customFormat="1" x14ac:dyDescent="0.25">
      <c r="A316" s="684"/>
      <c r="B316" s="636" t="s">
        <v>653</v>
      </c>
      <c r="C316" s="681">
        <v>35445</v>
      </c>
      <c r="D316" s="677">
        <v>9447</v>
      </c>
      <c r="E316" s="677">
        <v>28984</v>
      </c>
      <c r="F316" s="675"/>
      <c r="G316" s="677"/>
      <c r="H316" s="674">
        <f>SUM(C316:G316)</f>
        <v>73876</v>
      </c>
      <c r="I316" s="676"/>
      <c r="J316" s="675"/>
      <c r="K316" s="675"/>
      <c r="L316" s="674">
        <f>SUM(I316:K316)</f>
        <v>0</v>
      </c>
      <c r="M316" s="673">
        <f>SUM(H316+L316)</f>
        <v>73876</v>
      </c>
      <c r="N316" s="673"/>
      <c r="O316" s="673">
        <f>SUM(M316+N316)</f>
        <v>73876</v>
      </c>
    </row>
    <row r="317" spans="1:15" s="685" customFormat="1" x14ac:dyDescent="0.25">
      <c r="A317" s="713"/>
      <c r="B317" s="680" t="s">
        <v>744</v>
      </c>
      <c r="C317" s="712">
        <v>35445</v>
      </c>
      <c r="D317" s="692">
        <v>9447</v>
      </c>
      <c r="E317" s="692">
        <v>28984</v>
      </c>
      <c r="F317" s="688"/>
      <c r="G317" s="711"/>
      <c r="H317" s="687">
        <f>SUM(C317:G317)</f>
        <v>73876</v>
      </c>
      <c r="I317" s="689"/>
      <c r="J317" s="688"/>
      <c r="K317" s="711"/>
      <c r="L317" s="687">
        <f>SUM(I317:K317)</f>
        <v>0</v>
      </c>
      <c r="M317" s="686">
        <f>SUM(H317+L317)</f>
        <v>73876</v>
      </c>
      <c r="N317" s="686"/>
      <c r="O317" s="686">
        <f>SUM(M317+N317)</f>
        <v>73876</v>
      </c>
    </row>
    <row r="318" spans="1:15" s="685" customFormat="1" x14ac:dyDescent="0.25">
      <c r="A318" s="713"/>
      <c r="B318" s="680" t="s">
        <v>179</v>
      </c>
      <c r="C318" s="712"/>
      <c r="D318" s="692"/>
      <c r="E318" s="692"/>
      <c r="F318" s="688"/>
      <c r="G318" s="711"/>
      <c r="H318" s="687"/>
      <c r="I318" s="689"/>
      <c r="J318" s="688"/>
      <c r="K318" s="711"/>
      <c r="L318" s="687"/>
      <c r="M318" s="686"/>
      <c r="N318" s="686"/>
      <c r="O318" s="686"/>
    </row>
    <row r="319" spans="1:15" x14ac:dyDescent="0.25">
      <c r="A319" s="713"/>
      <c r="B319" s="637" t="s">
        <v>1159</v>
      </c>
      <c r="C319" s="712">
        <v>24</v>
      </c>
      <c r="D319" s="692">
        <v>6</v>
      </c>
      <c r="E319" s="692"/>
      <c r="F319" s="688"/>
      <c r="G319" s="711"/>
      <c r="H319" s="727">
        <f t="shared" ref="H319:H322" si="179">SUM(C319:G319)</f>
        <v>30</v>
      </c>
      <c r="I319" s="761"/>
      <c r="J319" s="731"/>
      <c r="K319" s="861"/>
      <c r="L319" s="727">
        <f t="shared" ref="L319:L322" si="180">SUM(I319:K319)</f>
        <v>0</v>
      </c>
      <c r="M319" s="726">
        <f t="shared" ref="M319:M322" si="181">SUM(H319+L319)</f>
        <v>30</v>
      </c>
      <c r="N319" s="726"/>
      <c r="O319" s="726">
        <f t="shared" ref="O319:O322" si="182">SUM(M319+N319)</f>
        <v>30</v>
      </c>
    </row>
    <row r="320" spans="1:15" x14ac:dyDescent="0.25">
      <c r="A320" s="760"/>
      <c r="B320" s="637" t="s">
        <v>1111</v>
      </c>
      <c r="C320" s="732">
        <v>90</v>
      </c>
      <c r="D320" s="730">
        <v>31</v>
      </c>
      <c r="E320" s="730"/>
      <c r="F320" s="731"/>
      <c r="G320" s="861"/>
      <c r="H320" s="727">
        <f t="shared" si="179"/>
        <v>121</v>
      </c>
      <c r="I320" s="761"/>
      <c r="J320" s="731"/>
      <c r="K320" s="861"/>
      <c r="L320" s="727">
        <f t="shared" si="180"/>
        <v>0</v>
      </c>
      <c r="M320" s="726">
        <f t="shared" si="181"/>
        <v>121</v>
      </c>
      <c r="N320" s="726"/>
      <c r="O320" s="726">
        <f t="shared" si="182"/>
        <v>121</v>
      </c>
    </row>
    <row r="321" spans="1:15" ht="31.5" x14ac:dyDescent="0.25">
      <c r="A321" s="760"/>
      <c r="B321" s="637" t="s">
        <v>1156</v>
      </c>
      <c r="C321" s="732"/>
      <c r="D321" s="730"/>
      <c r="E321" s="730">
        <v>-144</v>
      </c>
      <c r="F321" s="731"/>
      <c r="G321" s="861"/>
      <c r="H321" s="727">
        <f t="shared" si="179"/>
        <v>-144</v>
      </c>
      <c r="I321" s="761">
        <v>144</v>
      </c>
      <c r="J321" s="731"/>
      <c r="K321" s="861"/>
      <c r="L321" s="727">
        <f t="shared" si="180"/>
        <v>144</v>
      </c>
      <c r="M321" s="726">
        <f t="shared" si="181"/>
        <v>0</v>
      </c>
      <c r="N321" s="726"/>
      <c r="O321" s="726">
        <f t="shared" si="182"/>
        <v>0</v>
      </c>
    </row>
    <row r="322" spans="1:15" ht="32.25" thickBot="1" x14ac:dyDescent="0.3">
      <c r="A322" s="760"/>
      <c r="B322" s="637" t="s">
        <v>1160</v>
      </c>
      <c r="C322" s="732">
        <v>-24726</v>
      </c>
      <c r="D322" s="730">
        <v>-6493</v>
      </c>
      <c r="E322" s="730">
        <v>-22294</v>
      </c>
      <c r="F322" s="731"/>
      <c r="G322" s="861">
        <v>1981</v>
      </c>
      <c r="H322" s="727">
        <f t="shared" si="179"/>
        <v>-51532</v>
      </c>
      <c r="I322" s="761"/>
      <c r="J322" s="731"/>
      <c r="K322" s="861"/>
      <c r="L322" s="727">
        <f t="shared" si="180"/>
        <v>0</v>
      </c>
      <c r="M322" s="726">
        <f t="shared" si="181"/>
        <v>-51532</v>
      </c>
      <c r="N322" s="726"/>
      <c r="O322" s="726">
        <f t="shared" si="182"/>
        <v>-51532</v>
      </c>
    </row>
    <row r="323" spans="1:15" ht="17.25" thickTop="1" thickBot="1" x14ac:dyDescent="0.3">
      <c r="A323" s="660"/>
      <c r="B323" s="659" t="s">
        <v>736</v>
      </c>
      <c r="C323" s="658">
        <f>+C316+C319+C320+C321+C322</f>
        <v>10833</v>
      </c>
      <c r="D323" s="658">
        <f t="shared" ref="D323:O323" si="183">+D316+D319+D320+D321+D322</f>
        <v>2991</v>
      </c>
      <c r="E323" s="658">
        <f t="shared" si="183"/>
        <v>6546</v>
      </c>
      <c r="F323" s="658">
        <f t="shared" si="183"/>
        <v>0</v>
      </c>
      <c r="G323" s="658">
        <f t="shared" si="183"/>
        <v>1981</v>
      </c>
      <c r="H323" s="658">
        <f t="shared" si="183"/>
        <v>22351</v>
      </c>
      <c r="I323" s="658">
        <f t="shared" si="183"/>
        <v>144</v>
      </c>
      <c r="J323" s="658">
        <f t="shared" si="183"/>
        <v>0</v>
      </c>
      <c r="K323" s="658">
        <f t="shared" si="183"/>
        <v>0</v>
      </c>
      <c r="L323" s="658">
        <f t="shared" si="183"/>
        <v>144</v>
      </c>
      <c r="M323" s="658">
        <f t="shared" si="183"/>
        <v>22495</v>
      </c>
      <c r="N323" s="658">
        <f t="shared" si="183"/>
        <v>0</v>
      </c>
      <c r="O323" s="658">
        <f t="shared" si="183"/>
        <v>22495</v>
      </c>
    </row>
    <row r="324" spans="1:15" ht="17.25" thickTop="1" thickBot="1" x14ac:dyDescent="0.3">
      <c r="A324" s="660"/>
      <c r="B324" s="659" t="s">
        <v>743</v>
      </c>
      <c r="C324" s="658">
        <f>+C317+C319+C320+C321+C322</f>
        <v>10833</v>
      </c>
      <c r="D324" s="658">
        <f t="shared" ref="D324:O324" si="184">+D317+D319+D320+D321+D322</f>
        <v>2991</v>
      </c>
      <c r="E324" s="658">
        <f t="shared" si="184"/>
        <v>6546</v>
      </c>
      <c r="F324" s="658">
        <f t="shared" si="184"/>
        <v>0</v>
      </c>
      <c r="G324" s="658">
        <f t="shared" si="184"/>
        <v>1981</v>
      </c>
      <c r="H324" s="658">
        <f t="shared" si="184"/>
        <v>22351</v>
      </c>
      <c r="I324" s="658">
        <f t="shared" si="184"/>
        <v>144</v>
      </c>
      <c r="J324" s="658">
        <f t="shared" si="184"/>
        <v>0</v>
      </c>
      <c r="K324" s="658">
        <f t="shared" si="184"/>
        <v>0</v>
      </c>
      <c r="L324" s="658">
        <f t="shared" si="184"/>
        <v>144</v>
      </c>
      <c r="M324" s="658">
        <f t="shared" si="184"/>
        <v>22495</v>
      </c>
      <c r="N324" s="658">
        <f t="shared" si="184"/>
        <v>0</v>
      </c>
      <c r="O324" s="658">
        <f t="shared" si="184"/>
        <v>22495</v>
      </c>
    </row>
    <row r="325" spans="1:15" ht="16.5" thickTop="1" x14ac:dyDescent="0.25">
      <c r="A325" s="679" t="s">
        <v>17</v>
      </c>
      <c r="B325" s="700" t="s">
        <v>748</v>
      </c>
      <c r="C325" s="678"/>
      <c r="D325" s="695"/>
      <c r="E325" s="677"/>
      <c r="F325" s="696"/>
      <c r="G325" s="695"/>
      <c r="H325" s="674"/>
      <c r="I325" s="698"/>
      <c r="J325" s="696"/>
      <c r="K325" s="696"/>
      <c r="L325" s="674"/>
      <c r="M325" s="697"/>
      <c r="N325" s="697"/>
      <c r="O325" s="697"/>
    </row>
    <row r="326" spans="1:15" s="685" customFormat="1" x14ac:dyDescent="0.25">
      <c r="A326" s="679"/>
      <c r="B326" s="627" t="s">
        <v>653</v>
      </c>
      <c r="C326" s="678">
        <v>188016</v>
      </c>
      <c r="D326" s="695">
        <v>51695</v>
      </c>
      <c r="E326" s="677">
        <v>72321</v>
      </c>
      <c r="F326" s="696"/>
      <c r="G326" s="695"/>
      <c r="H326" s="674">
        <f>SUM(C326:G326)</f>
        <v>312032</v>
      </c>
      <c r="I326" s="676">
        <v>4424</v>
      </c>
      <c r="J326" s="675"/>
      <c r="K326" s="709"/>
      <c r="L326" s="674">
        <f>SUM(I326:K326)</f>
        <v>4424</v>
      </c>
      <c r="M326" s="673">
        <f>SUM(H326+L326)</f>
        <v>316456</v>
      </c>
      <c r="N326" s="673"/>
      <c r="O326" s="673">
        <f>SUM(M326+N326)</f>
        <v>316456</v>
      </c>
    </row>
    <row r="327" spans="1:15" s="685" customFormat="1" x14ac:dyDescent="0.25">
      <c r="A327" s="694"/>
      <c r="B327" s="680" t="s">
        <v>1151</v>
      </c>
      <c r="C327" s="693">
        <v>186477</v>
      </c>
      <c r="D327" s="690">
        <v>51164</v>
      </c>
      <c r="E327" s="692">
        <v>71956</v>
      </c>
      <c r="F327" s="691"/>
      <c r="G327" s="711"/>
      <c r="H327" s="714">
        <f>SUM(C327:G327)</f>
        <v>309597</v>
      </c>
      <c r="I327" s="689">
        <v>4424</v>
      </c>
      <c r="J327" s="688"/>
      <c r="K327" s="711"/>
      <c r="L327" s="687">
        <f>SUM(I327:K327)</f>
        <v>4424</v>
      </c>
      <c r="M327" s="686">
        <f>SUM(H327+L327)</f>
        <v>314021</v>
      </c>
      <c r="N327" s="686"/>
      <c r="O327" s="686">
        <f>SUM(M327+N327)</f>
        <v>314021</v>
      </c>
    </row>
    <row r="328" spans="1:15" s="685" customFormat="1" x14ac:dyDescent="0.25">
      <c r="A328" s="694"/>
      <c r="B328" s="680" t="s">
        <v>737</v>
      </c>
      <c r="C328" s="693">
        <v>1539</v>
      </c>
      <c r="D328" s="690">
        <v>531</v>
      </c>
      <c r="E328" s="692">
        <v>365</v>
      </c>
      <c r="F328" s="691"/>
      <c r="G328" s="715"/>
      <c r="H328" s="714">
        <f>SUM(C328:G328)</f>
        <v>2435</v>
      </c>
      <c r="I328" s="689"/>
      <c r="J328" s="688"/>
      <c r="K328" s="711"/>
      <c r="L328" s="687">
        <f>SUM(I328:K328)</f>
        <v>0</v>
      </c>
      <c r="M328" s="686">
        <f>SUM(H328+L328)</f>
        <v>2435</v>
      </c>
      <c r="N328" s="686"/>
      <c r="O328" s="686">
        <f>SUM(M328+N328)</f>
        <v>2435</v>
      </c>
    </row>
    <row r="329" spans="1:15" s="685" customFormat="1" x14ac:dyDescent="0.25">
      <c r="A329" s="694"/>
      <c r="B329" s="680" t="s">
        <v>178</v>
      </c>
      <c r="C329" s="693"/>
      <c r="D329" s="690"/>
      <c r="E329" s="692"/>
      <c r="F329" s="691"/>
      <c r="G329" s="711"/>
      <c r="H329" s="714"/>
      <c r="I329" s="689"/>
      <c r="J329" s="688"/>
      <c r="K329" s="711"/>
      <c r="L329" s="687"/>
      <c r="M329" s="686"/>
      <c r="N329" s="686"/>
      <c r="O329" s="686"/>
    </row>
    <row r="330" spans="1:15" s="685" customFormat="1" x14ac:dyDescent="0.25">
      <c r="A330" s="694"/>
      <c r="B330" s="637" t="s">
        <v>1110</v>
      </c>
      <c r="C330" s="858">
        <v>911</v>
      </c>
      <c r="D330" s="859">
        <v>246</v>
      </c>
      <c r="E330" s="692"/>
      <c r="F330" s="691"/>
      <c r="G330" s="715"/>
      <c r="H330" s="862">
        <f t="shared" ref="H330:H336" si="185">SUM(C330:G330)</f>
        <v>1157</v>
      </c>
      <c r="I330" s="761"/>
      <c r="J330" s="731"/>
      <c r="K330" s="861"/>
      <c r="L330" s="727">
        <f t="shared" ref="L330:L336" si="186">SUM(I330:K330)</f>
        <v>0</v>
      </c>
      <c r="M330" s="726">
        <f t="shared" ref="M330:M336" si="187">SUM(H330+L330)</f>
        <v>1157</v>
      </c>
      <c r="N330" s="726"/>
      <c r="O330" s="726">
        <f t="shared" ref="O330:O336" si="188">SUM(M330+N330)</f>
        <v>1157</v>
      </c>
    </row>
    <row r="331" spans="1:15" s="685" customFormat="1" ht="31.5" x14ac:dyDescent="0.25">
      <c r="A331" s="694"/>
      <c r="B331" s="637" t="s">
        <v>1121</v>
      </c>
      <c r="C331" s="858"/>
      <c r="D331" s="859"/>
      <c r="E331" s="692">
        <v>7348</v>
      </c>
      <c r="F331" s="691"/>
      <c r="G331" s="715"/>
      <c r="H331" s="862">
        <f t="shared" si="185"/>
        <v>7348</v>
      </c>
      <c r="I331" s="761"/>
      <c r="J331" s="731"/>
      <c r="K331" s="861"/>
      <c r="L331" s="727">
        <f t="shared" si="186"/>
        <v>0</v>
      </c>
      <c r="M331" s="726">
        <f t="shared" si="187"/>
        <v>7348</v>
      </c>
      <c r="N331" s="726"/>
      <c r="O331" s="726">
        <f t="shared" si="188"/>
        <v>7348</v>
      </c>
    </row>
    <row r="332" spans="1:15" s="685" customFormat="1" x14ac:dyDescent="0.25">
      <c r="A332" s="713"/>
      <c r="B332" s="637" t="s">
        <v>942</v>
      </c>
      <c r="C332" s="732">
        <v>1900</v>
      </c>
      <c r="D332" s="730">
        <v>513</v>
      </c>
      <c r="E332" s="730"/>
      <c r="F332" s="688"/>
      <c r="G332" s="711"/>
      <c r="H332" s="727">
        <f t="shared" si="185"/>
        <v>2413</v>
      </c>
      <c r="I332" s="761"/>
      <c r="J332" s="731"/>
      <c r="K332" s="861"/>
      <c r="L332" s="727">
        <f t="shared" si="186"/>
        <v>0</v>
      </c>
      <c r="M332" s="726">
        <f t="shared" si="187"/>
        <v>2413</v>
      </c>
      <c r="N332" s="726"/>
      <c r="O332" s="726">
        <f t="shared" si="188"/>
        <v>2413</v>
      </c>
    </row>
    <row r="333" spans="1:15" s="685" customFormat="1" ht="31.5" x14ac:dyDescent="0.25">
      <c r="A333" s="694"/>
      <c r="B333" s="637" t="s">
        <v>941</v>
      </c>
      <c r="C333" s="858">
        <v>129</v>
      </c>
      <c r="D333" s="859">
        <v>35</v>
      </c>
      <c r="E333" s="730"/>
      <c r="F333" s="691"/>
      <c r="G333" s="715"/>
      <c r="H333" s="727">
        <f t="shared" si="185"/>
        <v>164</v>
      </c>
      <c r="I333" s="761"/>
      <c r="J333" s="731"/>
      <c r="K333" s="861"/>
      <c r="L333" s="727">
        <f t="shared" si="186"/>
        <v>0</v>
      </c>
      <c r="M333" s="726">
        <f t="shared" si="187"/>
        <v>164</v>
      </c>
      <c r="N333" s="726"/>
      <c r="O333" s="726">
        <f t="shared" si="188"/>
        <v>164</v>
      </c>
    </row>
    <row r="334" spans="1:15" s="685" customFormat="1" x14ac:dyDescent="0.25">
      <c r="A334" s="694"/>
      <c r="B334" s="680" t="s">
        <v>179</v>
      </c>
      <c r="C334" s="693"/>
      <c r="D334" s="690"/>
      <c r="E334" s="692"/>
      <c r="F334" s="691"/>
      <c r="G334" s="715"/>
      <c r="H334" s="862"/>
      <c r="I334" s="761"/>
      <c r="J334" s="731"/>
      <c r="K334" s="861"/>
      <c r="L334" s="727"/>
      <c r="M334" s="726"/>
      <c r="N334" s="726"/>
      <c r="O334" s="726"/>
    </row>
    <row r="335" spans="1:15" s="685" customFormat="1" x14ac:dyDescent="0.25">
      <c r="A335" s="713"/>
      <c r="B335" s="637" t="s">
        <v>1111</v>
      </c>
      <c r="C335" s="732">
        <v>1396</v>
      </c>
      <c r="D335" s="730">
        <v>481</v>
      </c>
      <c r="E335" s="730"/>
      <c r="F335" s="688"/>
      <c r="G335" s="711"/>
      <c r="H335" s="727">
        <f t="shared" si="185"/>
        <v>1877</v>
      </c>
      <c r="I335" s="761"/>
      <c r="J335" s="731"/>
      <c r="K335" s="861"/>
      <c r="L335" s="727">
        <f t="shared" si="186"/>
        <v>0</v>
      </c>
      <c r="M335" s="726">
        <f t="shared" si="187"/>
        <v>1877</v>
      </c>
      <c r="N335" s="726"/>
      <c r="O335" s="726">
        <f t="shared" si="188"/>
        <v>1877</v>
      </c>
    </row>
    <row r="336" spans="1:15" s="685" customFormat="1" ht="63.75" thickBot="1" x14ac:dyDescent="0.3">
      <c r="A336" s="713"/>
      <c r="B336" s="637" t="s">
        <v>1161</v>
      </c>
      <c r="C336" s="732"/>
      <c r="D336" s="730"/>
      <c r="E336" s="730">
        <v>50</v>
      </c>
      <c r="F336" s="688"/>
      <c r="G336" s="711"/>
      <c r="H336" s="727">
        <f t="shared" si="185"/>
        <v>50</v>
      </c>
      <c r="I336" s="761"/>
      <c r="J336" s="731"/>
      <c r="K336" s="861"/>
      <c r="L336" s="727">
        <f t="shared" si="186"/>
        <v>0</v>
      </c>
      <c r="M336" s="726">
        <f t="shared" si="187"/>
        <v>50</v>
      </c>
      <c r="N336" s="726"/>
      <c r="O336" s="726">
        <f t="shared" si="188"/>
        <v>50</v>
      </c>
    </row>
    <row r="337" spans="1:15" ht="17.25" thickTop="1" thickBot="1" x14ac:dyDescent="0.3">
      <c r="A337" s="660"/>
      <c r="B337" s="659" t="s">
        <v>736</v>
      </c>
      <c r="C337" s="658">
        <f>+C326+C330+C331+C335+C336+C332+C333</f>
        <v>192352</v>
      </c>
      <c r="D337" s="658">
        <f t="shared" ref="D337:O337" si="189">+D326+D330+D331+D335+D336+D332+D333</f>
        <v>52970</v>
      </c>
      <c r="E337" s="658">
        <f t="shared" si="189"/>
        <v>79719</v>
      </c>
      <c r="F337" s="658">
        <f t="shared" si="189"/>
        <v>0</v>
      </c>
      <c r="G337" s="658">
        <f t="shared" si="189"/>
        <v>0</v>
      </c>
      <c r="H337" s="658">
        <f t="shared" si="189"/>
        <v>325041</v>
      </c>
      <c r="I337" s="658">
        <f t="shared" si="189"/>
        <v>4424</v>
      </c>
      <c r="J337" s="658">
        <f t="shared" si="189"/>
        <v>0</v>
      </c>
      <c r="K337" s="658">
        <f t="shared" si="189"/>
        <v>0</v>
      </c>
      <c r="L337" s="658">
        <f t="shared" si="189"/>
        <v>4424</v>
      </c>
      <c r="M337" s="658">
        <f t="shared" si="189"/>
        <v>329465</v>
      </c>
      <c r="N337" s="658">
        <f t="shared" si="189"/>
        <v>0</v>
      </c>
      <c r="O337" s="658">
        <f t="shared" si="189"/>
        <v>329465</v>
      </c>
    </row>
    <row r="338" spans="1:15" ht="17.25" thickTop="1" thickBot="1" x14ac:dyDescent="0.3">
      <c r="A338" s="660"/>
      <c r="B338" s="659" t="s">
        <v>735</v>
      </c>
      <c r="C338" s="658">
        <f t="shared" ref="C338:O338" si="190">+C327+C330+C331+C332+C333</f>
        <v>189417</v>
      </c>
      <c r="D338" s="658">
        <f t="shared" si="190"/>
        <v>51958</v>
      </c>
      <c r="E338" s="658">
        <f t="shared" si="190"/>
        <v>79304</v>
      </c>
      <c r="F338" s="658">
        <f t="shared" si="190"/>
        <v>0</v>
      </c>
      <c r="G338" s="658">
        <f t="shared" si="190"/>
        <v>0</v>
      </c>
      <c r="H338" s="658">
        <f t="shared" si="190"/>
        <v>320679</v>
      </c>
      <c r="I338" s="658">
        <f t="shared" si="190"/>
        <v>4424</v>
      </c>
      <c r="J338" s="658">
        <f t="shared" si="190"/>
        <v>0</v>
      </c>
      <c r="K338" s="658">
        <f t="shared" si="190"/>
        <v>0</v>
      </c>
      <c r="L338" s="658">
        <f t="shared" si="190"/>
        <v>4424</v>
      </c>
      <c r="M338" s="658">
        <f t="shared" si="190"/>
        <v>325103</v>
      </c>
      <c r="N338" s="658">
        <f t="shared" si="190"/>
        <v>0</v>
      </c>
      <c r="O338" s="658">
        <f t="shared" si="190"/>
        <v>325103</v>
      </c>
    </row>
    <row r="339" spans="1:15" ht="17.25" thickTop="1" thickBot="1" x14ac:dyDescent="0.3">
      <c r="A339" s="660"/>
      <c r="B339" s="659" t="s">
        <v>734</v>
      </c>
      <c r="C339" s="658">
        <f>+C328+C335+C336</f>
        <v>2935</v>
      </c>
      <c r="D339" s="658">
        <f t="shared" ref="D339:O339" si="191">+D328+D335+D336</f>
        <v>1012</v>
      </c>
      <c r="E339" s="658">
        <f t="shared" si="191"/>
        <v>415</v>
      </c>
      <c r="F339" s="658">
        <f t="shared" si="191"/>
        <v>0</v>
      </c>
      <c r="G339" s="658">
        <f t="shared" si="191"/>
        <v>0</v>
      </c>
      <c r="H339" s="658">
        <f t="shared" si="191"/>
        <v>4362</v>
      </c>
      <c r="I339" s="658">
        <f t="shared" si="191"/>
        <v>0</v>
      </c>
      <c r="J339" s="658">
        <f t="shared" si="191"/>
        <v>0</v>
      </c>
      <c r="K339" s="658">
        <f t="shared" si="191"/>
        <v>0</v>
      </c>
      <c r="L339" s="658">
        <f t="shared" si="191"/>
        <v>0</v>
      </c>
      <c r="M339" s="658">
        <f t="shared" si="191"/>
        <v>4362</v>
      </c>
      <c r="N339" s="658">
        <f t="shared" si="191"/>
        <v>0</v>
      </c>
      <c r="O339" s="658">
        <f t="shared" si="191"/>
        <v>4362</v>
      </c>
    </row>
    <row r="340" spans="1:15" ht="16.5" thickTop="1" x14ac:dyDescent="0.25">
      <c r="A340" s="679" t="s">
        <v>18</v>
      </c>
      <c r="B340" s="700" t="s">
        <v>747</v>
      </c>
      <c r="C340" s="678"/>
      <c r="D340" s="695"/>
      <c r="E340" s="677"/>
      <c r="F340" s="696"/>
      <c r="G340" s="695"/>
      <c r="H340" s="674"/>
      <c r="I340" s="698"/>
      <c r="J340" s="696"/>
      <c r="K340" s="696"/>
      <c r="L340" s="674"/>
      <c r="M340" s="697"/>
      <c r="N340" s="697"/>
      <c r="O340" s="697"/>
    </row>
    <row r="341" spans="1:15" x14ac:dyDescent="0.25">
      <c r="A341" s="679"/>
      <c r="B341" s="627" t="s">
        <v>653</v>
      </c>
      <c r="C341" s="678">
        <v>177738</v>
      </c>
      <c r="D341" s="695">
        <v>48053</v>
      </c>
      <c r="E341" s="677">
        <v>357141</v>
      </c>
      <c r="F341" s="696"/>
      <c r="G341" s="695"/>
      <c r="H341" s="674">
        <f>SUM(C341:G341)</f>
        <v>582932</v>
      </c>
      <c r="I341" s="676"/>
      <c r="J341" s="675"/>
      <c r="K341" s="675"/>
      <c r="L341" s="674">
        <f>SUM(I341:K341)</f>
        <v>0</v>
      </c>
      <c r="M341" s="673">
        <f>SUM(H341+L341)</f>
        <v>582932</v>
      </c>
      <c r="N341" s="673"/>
      <c r="O341" s="673">
        <f>SUM(M341+N341)</f>
        <v>582932</v>
      </c>
    </row>
    <row r="342" spans="1:15" s="685" customFormat="1" x14ac:dyDescent="0.25">
      <c r="A342" s="694"/>
      <c r="B342" s="680" t="s">
        <v>1151</v>
      </c>
      <c r="C342" s="693">
        <v>176229</v>
      </c>
      <c r="D342" s="690">
        <v>47533</v>
      </c>
      <c r="E342" s="692">
        <v>345565</v>
      </c>
      <c r="F342" s="691"/>
      <c r="G342" s="690"/>
      <c r="H342" s="687">
        <f>SUM(C342:G342)</f>
        <v>569327</v>
      </c>
      <c r="I342" s="689"/>
      <c r="J342" s="688"/>
      <c r="K342" s="688"/>
      <c r="L342" s="687">
        <f>SUM(I342:K342)</f>
        <v>0</v>
      </c>
      <c r="M342" s="686">
        <f>SUM(H342+L342)</f>
        <v>569327</v>
      </c>
      <c r="N342" s="686"/>
      <c r="O342" s="686">
        <f>SUM(M342+N342)</f>
        <v>569327</v>
      </c>
    </row>
    <row r="343" spans="1:15" x14ac:dyDescent="0.25">
      <c r="A343" s="705"/>
      <c r="B343" s="680" t="s">
        <v>737</v>
      </c>
      <c r="C343" s="708">
        <v>1509</v>
      </c>
      <c r="D343" s="706">
        <v>520</v>
      </c>
      <c r="E343" s="702">
        <v>11576</v>
      </c>
      <c r="F343" s="707"/>
      <c r="G343" s="706"/>
      <c r="H343" s="673">
        <f>SUM(C343:G343)</f>
        <v>13605</v>
      </c>
      <c r="I343" s="710"/>
      <c r="J343" s="682"/>
      <c r="K343" s="682"/>
      <c r="L343" s="673">
        <f>SUM(I343:K343)</f>
        <v>0</v>
      </c>
      <c r="M343" s="673">
        <f>SUM(H343+L343)</f>
        <v>13605</v>
      </c>
      <c r="N343" s="673"/>
      <c r="O343" s="673">
        <f>SUM(M343+N343)</f>
        <v>13605</v>
      </c>
    </row>
    <row r="344" spans="1:15" s="685" customFormat="1" x14ac:dyDescent="0.25">
      <c r="A344" s="713"/>
      <c r="B344" s="683" t="s">
        <v>178</v>
      </c>
      <c r="C344" s="689"/>
      <c r="D344" s="692"/>
      <c r="E344" s="692"/>
      <c r="F344" s="692"/>
      <c r="G344" s="689"/>
      <c r="H344" s="673"/>
      <c r="I344" s="676"/>
      <c r="J344" s="677"/>
      <c r="K344" s="676"/>
      <c r="L344" s="673"/>
      <c r="M344" s="673"/>
      <c r="N344" s="673"/>
      <c r="O344" s="673"/>
    </row>
    <row r="345" spans="1:15" x14ac:dyDescent="0.25">
      <c r="A345" s="760"/>
      <c r="B345" s="637" t="s">
        <v>1110</v>
      </c>
      <c r="C345" s="761">
        <v>704</v>
      </c>
      <c r="D345" s="730">
        <v>190</v>
      </c>
      <c r="E345" s="730"/>
      <c r="F345" s="730"/>
      <c r="G345" s="761"/>
      <c r="H345" s="726">
        <f t="shared" ref="H345:H355" si="192">SUM(C345:G345)</f>
        <v>894</v>
      </c>
      <c r="I345" s="761"/>
      <c r="J345" s="730"/>
      <c r="K345" s="761"/>
      <c r="L345" s="726">
        <f t="shared" ref="L345:L355" si="193">SUM(I345:K345)</f>
        <v>0</v>
      </c>
      <c r="M345" s="726">
        <f t="shared" ref="M345:M355" si="194">SUM(H345+L345)</f>
        <v>894</v>
      </c>
      <c r="N345" s="726"/>
      <c r="O345" s="726">
        <f t="shared" ref="O345:O355" si="195">SUM(M345+N345)</f>
        <v>894</v>
      </c>
    </row>
    <row r="346" spans="1:15" s="685" customFormat="1" x14ac:dyDescent="0.25">
      <c r="A346" s="760"/>
      <c r="B346" s="638" t="s">
        <v>942</v>
      </c>
      <c r="C346" s="761">
        <v>387</v>
      </c>
      <c r="D346" s="730">
        <v>104</v>
      </c>
      <c r="E346" s="730"/>
      <c r="F346" s="730"/>
      <c r="G346" s="761"/>
      <c r="H346" s="727">
        <f t="shared" si="192"/>
        <v>491</v>
      </c>
      <c r="I346" s="761"/>
      <c r="J346" s="730"/>
      <c r="K346" s="761"/>
      <c r="L346" s="727">
        <f t="shared" si="193"/>
        <v>0</v>
      </c>
      <c r="M346" s="727">
        <f t="shared" si="194"/>
        <v>491</v>
      </c>
      <c r="N346" s="727"/>
      <c r="O346" s="727">
        <f t="shared" si="195"/>
        <v>491</v>
      </c>
    </row>
    <row r="347" spans="1:15" ht="31.5" x14ac:dyDescent="0.25">
      <c r="A347" s="760"/>
      <c r="B347" s="638" t="s">
        <v>1156</v>
      </c>
      <c r="C347" s="761">
        <v>-1417</v>
      </c>
      <c r="D347" s="730">
        <v>-383</v>
      </c>
      <c r="E347" s="730">
        <v>-1568</v>
      </c>
      <c r="F347" s="730"/>
      <c r="G347" s="761"/>
      <c r="H347" s="727">
        <f t="shared" si="192"/>
        <v>-3368</v>
      </c>
      <c r="I347" s="761">
        <v>3368</v>
      </c>
      <c r="J347" s="730"/>
      <c r="K347" s="761"/>
      <c r="L347" s="727">
        <f t="shared" si="193"/>
        <v>3368</v>
      </c>
      <c r="M347" s="727">
        <f t="shared" si="194"/>
        <v>0</v>
      </c>
      <c r="N347" s="727"/>
      <c r="O347" s="727">
        <f t="shared" si="195"/>
        <v>0</v>
      </c>
    </row>
    <row r="348" spans="1:15" x14ac:dyDescent="0.25">
      <c r="A348" s="760"/>
      <c r="B348" s="638" t="s">
        <v>1124</v>
      </c>
      <c r="C348" s="761"/>
      <c r="D348" s="730"/>
      <c r="E348" s="730">
        <v>713</v>
      </c>
      <c r="F348" s="730"/>
      <c r="G348" s="761"/>
      <c r="H348" s="726">
        <f t="shared" si="192"/>
        <v>713</v>
      </c>
      <c r="I348" s="761"/>
      <c r="J348" s="730"/>
      <c r="K348" s="761"/>
      <c r="L348" s="726">
        <f t="shared" si="193"/>
        <v>0</v>
      </c>
      <c r="M348" s="726">
        <f t="shared" si="194"/>
        <v>713</v>
      </c>
      <c r="N348" s="726"/>
      <c r="O348" s="726">
        <f t="shared" si="195"/>
        <v>713</v>
      </c>
    </row>
    <row r="349" spans="1:15" x14ac:dyDescent="0.25">
      <c r="A349" s="760"/>
      <c r="B349" s="638" t="s">
        <v>1125</v>
      </c>
      <c r="C349" s="761"/>
      <c r="D349" s="730"/>
      <c r="E349" s="730">
        <v>20000</v>
      </c>
      <c r="F349" s="730"/>
      <c r="G349" s="761"/>
      <c r="H349" s="726">
        <f t="shared" si="192"/>
        <v>20000</v>
      </c>
      <c r="I349" s="761"/>
      <c r="J349" s="730"/>
      <c r="K349" s="761"/>
      <c r="L349" s="726">
        <f t="shared" si="193"/>
        <v>0</v>
      </c>
      <c r="M349" s="726">
        <f t="shared" si="194"/>
        <v>20000</v>
      </c>
      <c r="N349" s="726"/>
      <c r="O349" s="726">
        <f t="shared" si="195"/>
        <v>20000</v>
      </c>
    </row>
    <row r="350" spans="1:15" s="685" customFormat="1" ht="31.5" x14ac:dyDescent="0.25">
      <c r="A350" s="760"/>
      <c r="B350" s="638" t="s">
        <v>1162</v>
      </c>
      <c r="C350" s="761">
        <v>5680</v>
      </c>
      <c r="D350" s="730">
        <v>1534</v>
      </c>
      <c r="E350" s="730"/>
      <c r="F350" s="730"/>
      <c r="G350" s="761"/>
      <c r="H350" s="726">
        <f t="shared" si="192"/>
        <v>7214</v>
      </c>
      <c r="I350" s="761"/>
      <c r="J350" s="730"/>
      <c r="K350" s="761"/>
      <c r="L350" s="726">
        <f t="shared" si="193"/>
        <v>0</v>
      </c>
      <c r="M350" s="726">
        <f t="shared" si="194"/>
        <v>7214</v>
      </c>
      <c r="N350" s="726"/>
      <c r="O350" s="726">
        <f t="shared" si="195"/>
        <v>7214</v>
      </c>
    </row>
    <row r="351" spans="1:15" x14ac:dyDescent="0.25">
      <c r="A351" s="713"/>
      <c r="B351" s="683" t="s">
        <v>179</v>
      </c>
      <c r="C351" s="689"/>
      <c r="D351" s="692"/>
      <c r="E351" s="692"/>
      <c r="F351" s="692"/>
      <c r="G351" s="689"/>
      <c r="H351" s="673"/>
      <c r="I351" s="676"/>
      <c r="J351" s="677"/>
      <c r="K351" s="676"/>
      <c r="L351" s="673"/>
      <c r="M351" s="673"/>
      <c r="N351" s="673"/>
      <c r="O351" s="673"/>
    </row>
    <row r="352" spans="1:15" x14ac:dyDescent="0.25">
      <c r="A352" s="760"/>
      <c r="B352" s="637" t="s">
        <v>1111</v>
      </c>
      <c r="C352" s="761">
        <v>1238</v>
      </c>
      <c r="D352" s="730">
        <v>428</v>
      </c>
      <c r="E352" s="730"/>
      <c r="F352" s="730"/>
      <c r="G352" s="761"/>
      <c r="H352" s="726">
        <f t="shared" si="192"/>
        <v>1666</v>
      </c>
      <c r="I352" s="761"/>
      <c r="J352" s="730"/>
      <c r="K352" s="761"/>
      <c r="L352" s="726">
        <f t="shared" si="193"/>
        <v>0</v>
      </c>
      <c r="M352" s="726">
        <f t="shared" si="194"/>
        <v>1666</v>
      </c>
      <c r="N352" s="726"/>
      <c r="O352" s="726">
        <f t="shared" si="195"/>
        <v>1666</v>
      </c>
    </row>
    <row r="353" spans="1:15" ht="31.5" x14ac:dyDescent="0.25">
      <c r="A353" s="760"/>
      <c r="B353" s="638" t="s">
        <v>1156</v>
      </c>
      <c r="C353" s="761"/>
      <c r="D353" s="730"/>
      <c r="E353" s="730">
        <v>-1981</v>
      </c>
      <c r="F353" s="730"/>
      <c r="G353" s="761">
        <v>1981</v>
      </c>
      <c r="H353" s="726">
        <f t="shared" si="192"/>
        <v>0</v>
      </c>
      <c r="I353" s="761"/>
      <c r="J353" s="730"/>
      <c r="K353" s="761"/>
      <c r="L353" s="726">
        <f t="shared" si="193"/>
        <v>0</v>
      </c>
      <c r="M353" s="726">
        <f t="shared" si="194"/>
        <v>0</v>
      </c>
      <c r="N353" s="726"/>
      <c r="O353" s="726">
        <f t="shared" si="195"/>
        <v>0</v>
      </c>
    </row>
    <row r="354" spans="1:15" ht="31.5" x14ac:dyDescent="0.25">
      <c r="A354" s="760"/>
      <c r="B354" s="637" t="s">
        <v>1160</v>
      </c>
      <c r="C354" s="761">
        <v>24726</v>
      </c>
      <c r="D354" s="730">
        <v>6493</v>
      </c>
      <c r="E354" s="730">
        <v>22294</v>
      </c>
      <c r="F354" s="730"/>
      <c r="G354" s="761">
        <v>-1981</v>
      </c>
      <c r="H354" s="726">
        <f t="shared" si="192"/>
        <v>51532</v>
      </c>
      <c r="I354" s="761"/>
      <c r="J354" s="730"/>
      <c r="K354" s="761"/>
      <c r="L354" s="726">
        <f t="shared" si="193"/>
        <v>0</v>
      </c>
      <c r="M354" s="726">
        <f t="shared" si="194"/>
        <v>51532</v>
      </c>
      <c r="N354" s="727"/>
      <c r="O354" s="726">
        <f t="shared" si="195"/>
        <v>51532</v>
      </c>
    </row>
    <row r="355" spans="1:15" ht="32.25" thickBot="1" x14ac:dyDescent="0.3">
      <c r="A355" s="920"/>
      <c r="B355" s="638" t="s">
        <v>1157</v>
      </c>
      <c r="C355" s="921">
        <v>2631</v>
      </c>
      <c r="D355" s="867">
        <v>711</v>
      </c>
      <c r="E355" s="867">
        <v>2681</v>
      </c>
      <c r="F355" s="867"/>
      <c r="G355" s="921"/>
      <c r="H355" s="726">
        <f t="shared" si="192"/>
        <v>6023</v>
      </c>
      <c r="I355" s="921"/>
      <c r="J355" s="867"/>
      <c r="K355" s="921"/>
      <c r="L355" s="726">
        <f t="shared" si="193"/>
        <v>0</v>
      </c>
      <c r="M355" s="726">
        <f t="shared" si="194"/>
        <v>6023</v>
      </c>
      <c r="N355" s="869"/>
      <c r="O355" s="726">
        <f t="shared" si="195"/>
        <v>6023</v>
      </c>
    </row>
    <row r="356" spans="1:15" ht="17.25" thickTop="1" thickBot="1" x14ac:dyDescent="0.3">
      <c r="A356" s="660"/>
      <c r="B356" s="659" t="s">
        <v>736</v>
      </c>
      <c r="C356" s="658">
        <f>+C341+C345+C346+C347+C352+C354+C353+C355+C348+C349+C350</f>
        <v>211687</v>
      </c>
      <c r="D356" s="658">
        <f t="shared" ref="D356:O356" si="196">+D341+D345+D346+D347+D352+D354+D353+D355+D348+D349+D350</f>
        <v>57130</v>
      </c>
      <c r="E356" s="658">
        <f t="shared" si="196"/>
        <v>399280</v>
      </c>
      <c r="F356" s="658">
        <f t="shared" si="196"/>
        <v>0</v>
      </c>
      <c r="G356" s="658">
        <f t="shared" si="196"/>
        <v>0</v>
      </c>
      <c r="H356" s="658">
        <f t="shared" si="196"/>
        <v>668097</v>
      </c>
      <c r="I356" s="658">
        <f t="shared" si="196"/>
        <v>3368</v>
      </c>
      <c r="J356" s="658">
        <f t="shared" si="196"/>
        <v>0</v>
      </c>
      <c r="K356" s="658">
        <f t="shared" si="196"/>
        <v>0</v>
      </c>
      <c r="L356" s="658">
        <f t="shared" si="196"/>
        <v>3368</v>
      </c>
      <c r="M356" s="658">
        <f t="shared" si="196"/>
        <v>671465</v>
      </c>
      <c r="N356" s="658">
        <f t="shared" si="196"/>
        <v>0</v>
      </c>
      <c r="O356" s="658">
        <f t="shared" si="196"/>
        <v>671465</v>
      </c>
    </row>
    <row r="357" spans="1:15" ht="17.25" thickTop="1" thickBot="1" x14ac:dyDescent="0.3">
      <c r="A357" s="660"/>
      <c r="B357" s="659" t="s">
        <v>735</v>
      </c>
      <c r="C357" s="658">
        <f>+C342+C345+C346+C347+C348+C349+C350</f>
        <v>181583</v>
      </c>
      <c r="D357" s="658">
        <f t="shared" ref="D357:O357" si="197">+D342+D345+D346+D347+D348+D349+D350</f>
        <v>48978</v>
      </c>
      <c r="E357" s="658">
        <f t="shared" si="197"/>
        <v>364710</v>
      </c>
      <c r="F357" s="658">
        <f t="shared" si="197"/>
        <v>0</v>
      </c>
      <c r="G357" s="658">
        <f t="shared" si="197"/>
        <v>0</v>
      </c>
      <c r="H357" s="658">
        <f t="shared" si="197"/>
        <v>595271</v>
      </c>
      <c r="I357" s="658">
        <f t="shared" si="197"/>
        <v>3368</v>
      </c>
      <c r="J357" s="658">
        <f t="shared" si="197"/>
        <v>0</v>
      </c>
      <c r="K357" s="658">
        <f t="shared" si="197"/>
        <v>0</v>
      </c>
      <c r="L357" s="658">
        <f t="shared" si="197"/>
        <v>3368</v>
      </c>
      <c r="M357" s="658">
        <f t="shared" si="197"/>
        <v>598639</v>
      </c>
      <c r="N357" s="658">
        <f t="shared" si="197"/>
        <v>0</v>
      </c>
      <c r="O357" s="658">
        <f t="shared" si="197"/>
        <v>598639</v>
      </c>
    </row>
    <row r="358" spans="1:15" s="685" customFormat="1" ht="17.25" thickTop="1" thickBot="1" x14ac:dyDescent="0.3">
      <c r="A358" s="660"/>
      <c r="B358" s="659" t="s">
        <v>734</v>
      </c>
      <c r="C358" s="658">
        <f>+C343+C352+C354+C353+C355</f>
        <v>30104</v>
      </c>
      <c r="D358" s="658">
        <f t="shared" ref="D358:O358" si="198">+D343+D352+D354+D353+D355</f>
        <v>8152</v>
      </c>
      <c r="E358" s="658">
        <f t="shared" si="198"/>
        <v>34570</v>
      </c>
      <c r="F358" s="658">
        <f t="shared" si="198"/>
        <v>0</v>
      </c>
      <c r="G358" s="658">
        <f t="shared" si="198"/>
        <v>0</v>
      </c>
      <c r="H358" s="658">
        <f t="shared" si="198"/>
        <v>72826</v>
      </c>
      <c r="I358" s="658">
        <f t="shared" si="198"/>
        <v>0</v>
      </c>
      <c r="J358" s="658">
        <f t="shared" si="198"/>
        <v>0</v>
      </c>
      <c r="K358" s="658">
        <f t="shared" si="198"/>
        <v>0</v>
      </c>
      <c r="L358" s="658">
        <f t="shared" si="198"/>
        <v>0</v>
      </c>
      <c r="M358" s="658">
        <f t="shared" si="198"/>
        <v>72826</v>
      </c>
      <c r="N358" s="658">
        <f t="shared" si="198"/>
        <v>0</v>
      </c>
      <c r="O358" s="658">
        <f t="shared" si="198"/>
        <v>72826</v>
      </c>
    </row>
    <row r="359" spans="1:15" s="685" customFormat="1" ht="16.5" thickTop="1" x14ac:dyDescent="0.25">
      <c r="A359" s="679" t="s">
        <v>19</v>
      </c>
      <c r="B359" s="700" t="s">
        <v>746</v>
      </c>
      <c r="C359" s="678"/>
      <c r="D359" s="695"/>
      <c r="E359" s="677"/>
      <c r="F359" s="696"/>
      <c r="G359" s="695"/>
      <c r="H359" s="674"/>
      <c r="I359" s="698"/>
      <c r="J359" s="696"/>
      <c r="K359" s="696"/>
      <c r="L359" s="674"/>
      <c r="M359" s="697"/>
      <c r="N359" s="697"/>
      <c r="O359" s="697"/>
    </row>
    <row r="360" spans="1:15" s="685" customFormat="1" x14ac:dyDescent="0.25">
      <c r="A360" s="684"/>
      <c r="B360" s="636" t="s">
        <v>653</v>
      </c>
      <c r="C360" s="681">
        <v>82300</v>
      </c>
      <c r="D360" s="677">
        <v>21452</v>
      </c>
      <c r="E360" s="677">
        <v>69377</v>
      </c>
      <c r="F360" s="675"/>
      <c r="G360" s="677"/>
      <c r="H360" s="674">
        <f>SUM(C360:G360)</f>
        <v>173129</v>
      </c>
      <c r="I360" s="676"/>
      <c r="J360" s="675"/>
      <c r="K360" s="675"/>
      <c r="L360" s="674">
        <f>SUM(I360:K360)</f>
        <v>0</v>
      </c>
      <c r="M360" s="673">
        <f>SUM(H360+L360)</f>
        <v>173129</v>
      </c>
      <c r="N360" s="673"/>
      <c r="O360" s="673">
        <f>SUM(M360+N360)</f>
        <v>173129</v>
      </c>
    </row>
    <row r="361" spans="1:15" s="685" customFormat="1" x14ac:dyDescent="0.25">
      <c r="A361" s="713"/>
      <c r="B361" s="680" t="s">
        <v>744</v>
      </c>
      <c r="C361" s="712">
        <v>82300</v>
      </c>
      <c r="D361" s="692">
        <v>21452</v>
      </c>
      <c r="E361" s="692">
        <v>69377</v>
      </c>
      <c r="F361" s="688"/>
      <c r="G361" s="711"/>
      <c r="H361" s="687">
        <f>SUM(C361:G361)</f>
        <v>173129</v>
      </c>
      <c r="I361" s="689"/>
      <c r="J361" s="688"/>
      <c r="K361" s="711"/>
      <c r="L361" s="687">
        <f>SUM(I361:K361)</f>
        <v>0</v>
      </c>
      <c r="M361" s="686">
        <f>SUM(H361+L361)</f>
        <v>173129</v>
      </c>
      <c r="N361" s="686"/>
      <c r="O361" s="686">
        <f>SUM(M361+N361)</f>
        <v>173129</v>
      </c>
    </row>
    <row r="362" spans="1:15" s="685" customFormat="1" x14ac:dyDescent="0.25">
      <c r="A362" s="713"/>
      <c r="B362" s="680" t="s">
        <v>179</v>
      </c>
      <c r="C362" s="712"/>
      <c r="D362" s="692"/>
      <c r="E362" s="692"/>
      <c r="F362" s="688"/>
      <c r="G362" s="711"/>
      <c r="H362" s="687"/>
      <c r="I362" s="689"/>
      <c r="J362" s="688"/>
      <c r="K362" s="711"/>
      <c r="L362" s="687"/>
      <c r="M362" s="686"/>
      <c r="N362" s="686"/>
      <c r="O362" s="686"/>
    </row>
    <row r="363" spans="1:15" s="685" customFormat="1" x14ac:dyDescent="0.25">
      <c r="A363" s="713"/>
      <c r="B363" s="637" t="s">
        <v>1111</v>
      </c>
      <c r="C363" s="732">
        <v>258</v>
      </c>
      <c r="D363" s="730">
        <v>89</v>
      </c>
      <c r="E363" s="730"/>
      <c r="F363" s="688"/>
      <c r="G363" s="711"/>
      <c r="H363" s="727">
        <f t="shared" ref="H363:H366" si="199">SUM(C363:G363)</f>
        <v>347</v>
      </c>
      <c r="I363" s="761"/>
      <c r="J363" s="731"/>
      <c r="K363" s="861"/>
      <c r="L363" s="727">
        <f t="shared" ref="L363:L366" si="200">SUM(I363:K363)</f>
        <v>0</v>
      </c>
      <c r="M363" s="726">
        <f t="shared" ref="M363:M366" si="201">SUM(H363+L363)</f>
        <v>347</v>
      </c>
      <c r="N363" s="726"/>
      <c r="O363" s="726">
        <f t="shared" ref="O363:O366" si="202">SUM(M363+N363)</f>
        <v>347</v>
      </c>
    </row>
    <row r="364" spans="1:15" s="685" customFormat="1" ht="31.5" x14ac:dyDescent="0.25">
      <c r="A364" s="713"/>
      <c r="B364" s="637" t="s">
        <v>1156</v>
      </c>
      <c r="C364" s="712"/>
      <c r="D364" s="692"/>
      <c r="E364" s="730">
        <v>-348</v>
      </c>
      <c r="F364" s="688"/>
      <c r="G364" s="711"/>
      <c r="H364" s="727">
        <f t="shared" si="199"/>
        <v>-348</v>
      </c>
      <c r="I364" s="761">
        <v>348</v>
      </c>
      <c r="J364" s="731"/>
      <c r="K364" s="861"/>
      <c r="L364" s="727">
        <f t="shared" si="200"/>
        <v>348</v>
      </c>
      <c r="M364" s="726">
        <f t="shared" si="201"/>
        <v>0</v>
      </c>
      <c r="N364" s="726"/>
      <c r="O364" s="726">
        <f t="shared" si="202"/>
        <v>0</v>
      </c>
    </row>
    <row r="365" spans="1:15" s="685" customFormat="1" ht="31.5" x14ac:dyDescent="0.25">
      <c r="A365" s="713"/>
      <c r="B365" s="637" t="s">
        <v>1163</v>
      </c>
      <c r="C365" s="712"/>
      <c r="D365" s="692"/>
      <c r="E365" s="730">
        <v>6748</v>
      </c>
      <c r="F365" s="688"/>
      <c r="G365" s="711"/>
      <c r="H365" s="727">
        <f t="shared" si="199"/>
        <v>6748</v>
      </c>
      <c r="I365" s="761"/>
      <c r="J365" s="731"/>
      <c r="K365" s="861"/>
      <c r="L365" s="727">
        <f t="shared" si="200"/>
        <v>0</v>
      </c>
      <c r="M365" s="726">
        <f t="shared" si="201"/>
        <v>6748</v>
      </c>
      <c r="N365" s="726"/>
      <c r="O365" s="726">
        <f t="shared" si="202"/>
        <v>6748</v>
      </c>
    </row>
    <row r="366" spans="1:15" s="685" customFormat="1" ht="16.5" thickBot="1" x14ac:dyDescent="0.3">
      <c r="A366" s="713"/>
      <c r="B366" s="637" t="s">
        <v>1164</v>
      </c>
      <c r="C366" s="732"/>
      <c r="D366" s="730"/>
      <c r="E366" s="730">
        <v>5000</v>
      </c>
      <c r="F366" s="688"/>
      <c r="G366" s="711"/>
      <c r="H366" s="727">
        <f t="shared" si="199"/>
        <v>5000</v>
      </c>
      <c r="I366" s="761"/>
      <c r="J366" s="731"/>
      <c r="K366" s="861"/>
      <c r="L366" s="727">
        <f t="shared" si="200"/>
        <v>0</v>
      </c>
      <c r="M366" s="726">
        <f t="shared" si="201"/>
        <v>5000</v>
      </c>
      <c r="N366" s="726"/>
      <c r="O366" s="726">
        <f t="shared" si="202"/>
        <v>5000</v>
      </c>
    </row>
    <row r="367" spans="1:15" s="685" customFormat="1" ht="17.25" thickTop="1" thickBot="1" x14ac:dyDescent="0.3">
      <c r="A367" s="660"/>
      <c r="B367" s="659" t="s">
        <v>736</v>
      </c>
      <c r="C367" s="658">
        <f>+C360+C363+C364+C365+C366</f>
        <v>82558</v>
      </c>
      <c r="D367" s="658">
        <f t="shared" ref="D367:O367" si="203">+D360+D363+D364+D365+D366</f>
        <v>21541</v>
      </c>
      <c r="E367" s="658">
        <f t="shared" si="203"/>
        <v>80777</v>
      </c>
      <c r="F367" s="658">
        <f t="shared" si="203"/>
        <v>0</v>
      </c>
      <c r="G367" s="658">
        <f t="shared" si="203"/>
        <v>0</v>
      </c>
      <c r="H367" s="658">
        <f t="shared" si="203"/>
        <v>184876</v>
      </c>
      <c r="I367" s="658">
        <f t="shared" si="203"/>
        <v>348</v>
      </c>
      <c r="J367" s="658">
        <f t="shared" si="203"/>
        <v>0</v>
      </c>
      <c r="K367" s="658">
        <f t="shared" si="203"/>
        <v>0</v>
      </c>
      <c r="L367" s="658">
        <f t="shared" si="203"/>
        <v>348</v>
      </c>
      <c r="M367" s="658">
        <f t="shared" si="203"/>
        <v>185224</v>
      </c>
      <c r="N367" s="658">
        <f t="shared" si="203"/>
        <v>0</v>
      </c>
      <c r="O367" s="658">
        <f t="shared" si="203"/>
        <v>185224</v>
      </c>
    </row>
    <row r="368" spans="1:15" s="685" customFormat="1" ht="17.25" thickTop="1" thickBot="1" x14ac:dyDescent="0.3">
      <c r="A368" s="660"/>
      <c r="B368" s="659" t="s">
        <v>743</v>
      </c>
      <c r="C368" s="658">
        <f>+C361+C363+C364+C365+C366</f>
        <v>82558</v>
      </c>
      <c r="D368" s="658">
        <f t="shared" ref="D368:O368" si="204">+D361+D363+D364+D365+D366</f>
        <v>21541</v>
      </c>
      <c r="E368" s="658">
        <f t="shared" si="204"/>
        <v>80777</v>
      </c>
      <c r="F368" s="658">
        <f t="shared" si="204"/>
        <v>0</v>
      </c>
      <c r="G368" s="658">
        <f t="shared" si="204"/>
        <v>0</v>
      </c>
      <c r="H368" s="658">
        <f t="shared" si="204"/>
        <v>184876</v>
      </c>
      <c r="I368" s="658">
        <f t="shared" si="204"/>
        <v>348</v>
      </c>
      <c r="J368" s="658">
        <f t="shared" si="204"/>
        <v>0</v>
      </c>
      <c r="K368" s="658">
        <f t="shared" si="204"/>
        <v>0</v>
      </c>
      <c r="L368" s="658">
        <f t="shared" si="204"/>
        <v>348</v>
      </c>
      <c r="M368" s="658">
        <f t="shared" si="204"/>
        <v>185224</v>
      </c>
      <c r="N368" s="658">
        <f t="shared" si="204"/>
        <v>0</v>
      </c>
      <c r="O368" s="658">
        <f t="shared" si="204"/>
        <v>185224</v>
      </c>
    </row>
    <row r="369" spans="1:15" ht="16.5" thickTop="1" x14ac:dyDescent="0.25">
      <c r="A369" s="679" t="s">
        <v>20</v>
      </c>
      <c r="B369" s="700" t="s">
        <v>745</v>
      </c>
      <c r="C369" s="678"/>
      <c r="D369" s="695"/>
      <c r="E369" s="677"/>
      <c r="F369" s="696"/>
      <c r="G369" s="695"/>
      <c r="H369" s="674"/>
      <c r="I369" s="698"/>
      <c r="J369" s="696"/>
      <c r="K369" s="696"/>
      <c r="L369" s="674"/>
      <c r="M369" s="697"/>
      <c r="N369" s="697"/>
      <c r="O369" s="697"/>
    </row>
    <row r="370" spans="1:15" x14ac:dyDescent="0.25">
      <c r="A370" s="679"/>
      <c r="B370" s="627" t="s">
        <v>653</v>
      </c>
      <c r="C370" s="678">
        <v>444544</v>
      </c>
      <c r="D370" s="695">
        <v>121875</v>
      </c>
      <c r="E370" s="677">
        <v>554475</v>
      </c>
      <c r="F370" s="696"/>
      <c r="G370" s="695"/>
      <c r="H370" s="674">
        <f>SUM(C370:G370)</f>
        <v>1120894</v>
      </c>
      <c r="I370" s="676">
        <v>49347</v>
      </c>
      <c r="J370" s="675"/>
      <c r="K370" s="675"/>
      <c r="L370" s="674">
        <f>SUM(I370:K370)</f>
        <v>49347</v>
      </c>
      <c r="M370" s="673">
        <f>SUM(H370+L370)</f>
        <v>1170241</v>
      </c>
      <c r="N370" s="673"/>
      <c r="O370" s="673">
        <f>SUM(M370+N370)</f>
        <v>1170241</v>
      </c>
    </row>
    <row r="371" spans="1:15" x14ac:dyDescent="0.25">
      <c r="A371" s="679"/>
      <c r="B371" s="680" t="s">
        <v>744</v>
      </c>
      <c r="C371" s="678">
        <v>444544</v>
      </c>
      <c r="D371" s="695">
        <v>121875</v>
      </c>
      <c r="E371" s="677">
        <v>554475</v>
      </c>
      <c r="F371" s="696"/>
      <c r="G371" s="695"/>
      <c r="H371" s="674">
        <f>SUM(C371:G371)</f>
        <v>1120894</v>
      </c>
      <c r="I371" s="676">
        <v>49347</v>
      </c>
      <c r="J371" s="675"/>
      <c r="K371" s="675"/>
      <c r="L371" s="674">
        <f>SUM(I371:K371)</f>
        <v>49347</v>
      </c>
      <c r="M371" s="673">
        <f>SUM(H371+L371)</f>
        <v>1170241</v>
      </c>
      <c r="N371" s="673"/>
      <c r="O371" s="673">
        <f>SUM(M371+N371)</f>
        <v>1170241</v>
      </c>
    </row>
    <row r="372" spans="1:15" x14ac:dyDescent="0.25">
      <c r="A372" s="679"/>
      <c r="B372" s="680" t="s">
        <v>179</v>
      </c>
      <c r="C372" s="678"/>
      <c r="D372" s="695"/>
      <c r="E372" s="677"/>
      <c r="F372" s="696"/>
      <c r="G372" s="695"/>
      <c r="H372" s="674"/>
      <c r="I372" s="676"/>
      <c r="J372" s="675"/>
      <c r="K372" s="675"/>
      <c r="L372" s="674"/>
      <c r="M372" s="673"/>
      <c r="N372" s="673"/>
      <c r="O372" s="673"/>
    </row>
    <row r="373" spans="1:15" x14ac:dyDescent="0.25">
      <c r="A373" s="679"/>
      <c r="B373" s="627" t="s">
        <v>1110</v>
      </c>
      <c r="C373" s="678">
        <v>1188</v>
      </c>
      <c r="D373" s="695">
        <v>321</v>
      </c>
      <c r="E373" s="677"/>
      <c r="F373" s="696"/>
      <c r="G373" s="695"/>
      <c r="H373" s="674">
        <f t="shared" ref="H373:H379" si="205">SUM(C373:G373)</f>
        <v>1509</v>
      </c>
      <c r="I373" s="676"/>
      <c r="J373" s="675"/>
      <c r="K373" s="675"/>
      <c r="L373" s="674">
        <f t="shared" ref="L373:L379" si="206">SUM(I373:K373)</f>
        <v>0</v>
      </c>
      <c r="M373" s="673">
        <f t="shared" ref="M373:M375" si="207">SUM(H373+L373)</f>
        <v>1509</v>
      </c>
      <c r="N373" s="673"/>
      <c r="O373" s="673">
        <f t="shared" ref="O373:O375" si="208">SUM(M373+N373)</f>
        <v>1509</v>
      </c>
    </row>
    <row r="374" spans="1:15" x14ac:dyDescent="0.25">
      <c r="A374" s="679"/>
      <c r="B374" s="637" t="s">
        <v>1111</v>
      </c>
      <c r="C374" s="678">
        <v>1849</v>
      </c>
      <c r="D374" s="695">
        <v>638</v>
      </c>
      <c r="E374" s="677"/>
      <c r="F374" s="696"/>
      <c r="G374" s="695"/>
      <c r="H374" s="674">
        <f t="shared" si="205"/>
        <v>2487</v>
      </c>
      <c r="I374" s="676"/>
      <c r="J374" s="675"/>
      <c r="K374" s="675"/>
      <c r="L374" s="674">
        <f t="shared" si="206"/>
        <v>0</v>
      </c>
      <c r="M374" s="673">
        <f t="shared" si="207"/>
        <v>2487</v>
      </c>
      <c r="N374" s="673"/>
      <c r="O374" s="673">
        <f t="shared" si="208"/>
        <v>2487</v>
      </c>
    </row>
    <row r="375" spans="1:15" s="685" customFormat="1" ht="31.5" x14ac:dyDescent="0.25">
      <c r="A375" s="684"/>
      <c r="B375" s="638" t="s">
        <v>941</v>
      </c>
      <c r="C375" s="681">
        <v>111</v>
      </c>
      <c r="D375" s="677">
        <v>30</v>
      </c>
      <c r="E375" s="677"/>
      <c r="F375" s="675"/>
      <c r="G375" s="677"/>
      <c r="H375" s="674">
        <f t="shared" si="205"/>
        <v>141</v>
      </c>
      <c r="I375" s="676"/>
      <c r="J375" s="675"/>
      <c r="K375" s="675"/>
      <c r="L375" s="674">
        <f t="shared" si="206"/>
        <v>0</v>
      </c>
      <c r="M375" s="674">
        <f t="shared" si="207"/>
        <v>141</v>
      </c>
      <c r="N375" s="674"/>
      <c r="O375" s="674">
        <f t="shared" si="208"/>
        <v>141</v>
      </c>
    </row>
    <row r="376" spans="1:15" s="685" customFormat="1" ht="63" x14ac:dyDescent="0.25">
      <c r="A376" s="684"/>
      <c r="B376" s="638" t="s">
        <v>1165</v>
      </c>
      <c r="C376" s="681"/>
      <c r="D376" s="677"/>
      <c r="E376" s="677">
        <v>482</v>
      </c>
      <c r="F376" s="675"/>
      <c r="G376" s="677"/>
      <c r="H376" s="674">
        <f t="shared" si="205"/>
        <v>482</v>
      </c>
      <c r="I376" s="676"/>
      <c r="J376" s="675"/>
      <c r="K376" s="675"/>
      <c r="L376" s="674">
        <f t="shared" si="206"/>
        <v>0</v>
      </c>
      <c r="M376" s="674">
        <f>SUM(H376+L376)</f>
        <v>482</v>
      </c>
      <c r="N376" s="674"/>
      <c r="O376" s="674">
        <f>SUM(M376+N376)</f>
        <v>482</v>
      </c>
    </row>
    <row r="377" spans="1:15" s="685" customFormat="1" ht="31.5" x14ac:dyDescent="0.25">
      <c r="A377" s="679"/>
      <c r="B377" s="637" t="s">
        <v>1166</v>
      </c>
      <c r="C377" s="678"/>
      <c r="D377" s="695"/>
      <c r="E377" s="677">
        <v>244</v>
      </c>
      <c r="F377" s="696"/>
      <c r="G377" s="695"/>
      <c r="H377" s="674">
        <f t="shared" si="205"/>
        <v>244</v>
      </c>
      <c r="I377" s="676"/>
      <c r="J377" s="675"/>
      <c r="K377" s="675"/>
      <c r="L377" s="674">
        <f t="shared" si="206"/>
        <v>0</v>
      </c>
      <c r="M377" s="673">
        <f>SUM(H377+L377)</f>
        <v>244</v>
      </c>
      <c r="N377" s="673"/>
      <c r="O377" s="673">
        <f>SUM(M377+N377)</f>
        <v>244</v>
      </c>
    </row>
    <row r="378" spans="1:15" s="685" customFormat="1" ht="31.5" x14ac:dyDescent="0.25">
      <c r="A378" s="679"/>
      <c r="B378" s="637" t="s">
        <v>1156</v>
      </c>
      <c r="C378" s="678"/>
      <c r="D378" s="695"/>
      <c r="E378" s="677">
        <v>-714</v>
      </c>
      <c r="F378" s="696"/>
      <c r="G378" s="695"/>
      <c r="H378" s="674">
        <f t="shared" si="205"/>
        <v>-714</v>
      </c>
      <c r="I378" s="676">
        <v>714</v>
      </c>
      <c r="J378" s="675"/>
      <c r="K378" s="675"/>
      <c r="L378" s="674">
        <f t="shared" si="206"/>
        <v>714</v>
      </c>
      <c r="M378" s="673">
        <f>SUM(H378+L378)</f>
        <v>0</v>
      </c>
      <c r="N378" s="673"/>
      <c r="O378" s="673">
        <f>SUM(M378+N378)</f>
        <v>0</v>
      </c>
    </row>
    <row r="379" spans="1:15" s="685" customFormat="1" ht="32.25" thickBot="1" x14ac:dyDescent="0.3">
      <c r="A379" s="679"/>
      <c r="B379" s="637" t="s">
        <v>1163</v>
      </c>
      <c r="C379" s="678"/>
      <c r="D379" s="695"/>
      <c r="E379" s="677">
        <v>3500</v>
      </c>
      <c r="F379" s="696"/>
      <c r="G379" s="695"/>
      <c r="H379" s="674">
        <f t="shared" si="205"/>
        <v>3500</v>
      </c>
      <c r="I379" s="676"/>
      <c r="J379" s="675"/>
      <c r="K379" s="675"/>
      <c r="L379" s="674">
        <f t="shared" si="206"/>
        <v>0</v>
      </c>
      <c r="M379" s="673">
        <f>SUM(H379+L379)</f>
        <v>3500</v>
      </c>
      <c r="N379" s="673"/>
      <c r="O379" s="673">
        <f>SUM(M379+N379)</f>
        <v>3500</v>
      </c>
    </row>
    <row r="380" spans="1:15" s="685" customFormat="1" ht="17.25" thickTop="1" thickBot="1" x14ac:dyDescent="0.3">
      <c r="A380" s="660"/>
      <c r="B380" s="659" t="s">
        <v>736</v>
      </c>
      <c r="C380" s="658">
        <f>+C370+C373+C374+C375+C376+C377+C378+C379</f>
        <v>447692</v>
      </c>
      <c r="D380" s="658">
        <f t="shared" ref="D380:O380" si="209">+D370+D373+D374+D375+D376+D377+D378+D379</f>
        <v>122864</v>
      </c>
      <c r="E380" s="658">
        <f t="shared" si="209"/>
        <v>557987</v>
      </c>
      <c r="F380" s="658">
        <f t="shared" si="209"/>
        <v>0</v>
      </c>
      <c r="G380" s="658">
        <f t="shared" si="209"/>
        <v>0</v>
      </c>
      <c r="H380" s="658">
        <f t="shared" si="209"/>
        <v>1128543</v>
      </c>
      <c r="I380" s="658">
        <f t="shared" si="209"/>
        <v>50061</v>
      </c>
      <c r="J380" s="658">
        <f t="shared" si="209"/>
        <v>0</v>
      </c>
      <c r="K380" s="658">
        <f t="shared" si="209"/>
        <v>0</v>
      </c>
      <c r="L380" s="658">
        <f t="shared" si="209"/>
        <v>50061</v>
      </c>
      <c r="M380" s="658">
        <f t="shared" si="209"/>
        <v>1178604</v>
      </c>
      <c r="N380" s="658">
        <f t="shared" si="209"/>
        <v>0</v>
      </c>
      <c r="O380" s="658">
        <f t="shared" si="209"/>
        <v>1178604</v>
      </c>
    </row>
    <row r="381" spans="1:15" s="685" customFormat="1" ht="17.25" thickTop="1" thickBot="1" x14ac:dyDescent="0.3">
      <c r="A381" s="660"/>
      <c r="B381" s="659" t="s">
        <v>743</v>
      </c>
      <c r="C381" s="658">
        <f>+C371+C373+C374+C375+C376+C377+C378+C379</f>
        <v>447692</v>
      </c>
      <c r="D381" s="658">
        <f t="shared" ref="D381:O381" si="210">+D371+D373+D374+D375+D376+D377+D378+D379</f>
        <v>122864</v>
      </c>
      <c r="E381" s="658">
        <f t="shared" si="210"/>
        <v>557987</v>
      </c>
      <c r="F381" s="658">
        <f t="shared" si="210"/>
        <v>0</v>
      </c>
      <c r="G381" s="658">
        <f t="shared" si="210"/>
        <v>0</v>
      </c>
      <c r="H381" s="658">
        <f t="shared" si="210"/>
        <v>1128543</v>
      </c>
      <c r="I381" s="658">
        <f t="shared" si="210"/>
        <v>50061</v>
      </c>
      <c r="J381" s="658">
        <f t="shared" si="210"/>
        <v>0</v>
      </c>
      <c r="K381" s="658">
        <f t="shared" si="210"/>
        <v>0</v>
      </c>
      <c r="L381" s="658">
        <f t="shared" si="210"/>
        <v>50061</v>
      </c>
      <c r="M381" s="658">
        <f t="shared" si="210"/>
        <v>1178604</v>
      </c>
      <c r="N381" s="658">
        <f t="shared" si="210"/>
        <v>0</v>
      </c>
      <c r="O381" s="658">
        <f t="shared" si="210"/>
        <v>1178604</v>
      </c>
    </row>
    <row r="382" spans="1:15" s="685" customFormat="1" ht="16.5" thickTop="1" x14ac:dyDescent="0.25">
      <c r="A382" s="679" t="s">
        <v>21</v>
      </c>
      <c r="B382" s="700" t="s">
        <v>742</v>
      </c>
      <c r="C382" s="699"/>
      <c r="D382" s="677"/>
      <c r="E382" s="677"/>
      <c r="F382" s="675"/>
      <c r="G382" s="695"/>
      <c r="H382" s="674"/>
      <c r="I382" s="698"/>
      <c r="J382" s="696"/>
      <c r="K382" s="696"/>
      <c r="L382" s="674"/>
      <c r="M382" s="697"/>
      <c r="N382" s="697"/>
      <c r="O382" s="697"/>
    </row>
    <row r="383" spans="1:15" s="685" customFormat="1" x14ac:dyDescent="0.25">
      <c r="A383" s="679"/>
      <c r="B383" s="627" t="s">
        <v>653</v>
      </c>
      <c r="C383" s="699">
        <v>53491</v>
      </c>
      <c r="D383" s="677">
        <v>14689</v>
      </c>
      <c r="E383" s="677">
        <v>55666</v>
      </c>
      <c r="F383" s="675"/>
      <c r="G383" s="695"/>
      <c r="H383" s="674">
        <f>SUM(C383:G383)</f>
        <v>123846</v>
      </c>
      <c r="I383" s="676"/>
      <c r="J383" s="675"/>
      <c r="K383" s="675"/>
      <c r="L383" s="674">
        <f>SUM(I383:K383)</f>
        <v>0</v>
      </c>
      <c r="M383" s="673">
        <f>SUM(H383+L383)</f>
        <v>123846</v>
      </c>
      <c r="N383" s="673"/>
      <c r="O383" s="673">
        <f>SUM(M383+N383)</f>
        <v>123846</v>
      </c>
    </row>
    <row r="384" spans="1:15" s="685" customFormat="1" x14ac:dyDescent="0.25">
      <c r="A384" s="694"/>
      <c r="B384" s="680" t="s">
        <v>1151</v>
      </c>
      <c r="C384" s="701">
        <v>52932</v>
      </c>
      <c r="D384" s="692">
        <v>14497</v>
      </c>
      <c r="E384" s="692">
        <v>53676</v>
      </c>
      <c r="F384" s="688"/>
      <c r="G384" s="690"/>
      <c r="H384" s="687">
        <f>SUM(C384:G384)</f>
        <v>121105</v>
      </c>
      <c r="I384" s="689"/>
      <c r="J384" s="688"/>
      <c r="K384" s="688"/>
      <c r="L384" s="687">
        <f>SUM(I384:K384)</f>
        <v>0</v>
      </c>
      <c r="M384" s="686">
        <f>SUM(H384+L384)</f>
        <v>121105</v>
      </c>
      <c r="N384" s="686"/>
      <c r="O384" s="686">
        <f>SUM(M384+N384)</f>
        <v>121105</v>
      </c>
    </row>
    <row r="385" spans="1:15" s="685" customFormat="1" x14ac:dyDescent="0.25">
      <c r="A385" s="694"/>
      <c r="B385" s="680" t="s">
        <v>737</v>
      </c>
      <c r="C385" s="701">
        <v>559</v>
      </c>
      <c r="D385" s="692">
        <v>192</v>
      </c>
      <c r="E385" s="692">
        <v>1990</v>
      </c>
      <c r="F385" s="688"/>
      <c r="G385" s="690"/>
      <c r="H385" s="727">
        <f>SUM(C385:G385)</f>
        <v>2741</v>
      </c>
      <c r="I385" s="761"/>
      <c r="J385" s="731"/>
      <c r="K385" s="731"/>
      <c r="L385" s="727">
        <f>SUM(I385:K385)</f>
        <v>0</v>
      </c>
      <c r="M385" s="726">
        <f>SUM(H385+L385)</f>
        <v>2741</v>
      </c>
      <c r="N385" s="726"/>
      <c r="O385" s="726">
        <f>SUM(M385+N385)</f>
        <v>2741</v>
      </c>
    </row>
    <row r="386" spans="1:15" x14ac:dyDescent="0.25">
      <c r="A386" s="694"/>
      <c r="B386" s="680" t="s">
        <v>178</v>
      </c>
      <c r="C386" s="701"/>
      <c r="D386" s="692"/>
      <c r="E386" s="692"/>
      <c r="F386" s="688"/>
      <c r="G386" s="690"/>
      <c r="H386" s="727"/>
      <c r="I386" s="761"/>
      <c r="J386" s="731"/>
      <c r="K386" s="731"/>
      <c r="L386" s="727"/>
      <c r="M386" s="726"/>
      <c r="N386" s="726"/>
      <c r="O386" s="726"/>
    </row>
    <row r="387" spans="1:15" x14ac:dyDescent="0.25">
      <c r="A387" s="694"/>
      <c r="B387" s="637" t="s">
        <v>1110</v>
      </c>
      <c r="C387" s="863">
        <v>80</v>
      </c>
      <c r="D387" s="730">
        <v>21</v>
      </c>
      <c r="E387" s="692"/>
      <c r="F387" s="688"/>
      <c r="G387" s="690"/>
      <c r="H387" s="727">
        <f t="shared" ref="H387:H397" si="211">SUM(C387:G387)</f>
        <v>101</v>
      </c>
      <c r="I387" s="761"/>
      <c r="J387" s="731"/>
      <c r="K387" s="731"/>
      <c r="L387" s="727">
        <f t="shared" ref="L387:L397" si="212">SUM(I387:K387)</f>
        <v>0</v>
      </c>
      <c r="M387" s="726">
        <f t="shared" ref="M387:M397" si="213">SUM(H387+L387)</f>
        <v>101</v>
      </c>
      <c r="N387" s="726"/>
      <c r="O387" s="726">
        <f t="shared" ref="O387:O397" si="214">SUM(M387+N387)</f>
        <v>101</v>
      </c>
    </row>
    <row r="388" spans="1:15" ht="31.5" x14ac:dyDescent="0.25">
      <c r="A388" s="694"/>
      <c r="B388" s="637" t="s">
        <v>1156</v>
      </c>
      <c r="C388" s="863"/>
      <c r="D388" s="730"/>
      <c r="E388" s="730">
        <v>-270</v>
      </c>
      <c r="F388" s="688"/>
      <c r="G388" s="690"/>
      <c r="H388" s="727">
        <f t="shared" si="211"/>
        <v>-270</v>
      </c>
      <c r="I388" s="761">
        <v>270</v>
      </c>
      <c r="J388" s="731"/>
      <c r="K388" s="731"/>
      <c r="L388" s="727">
        <f t="shared" si="212"/>
        <v>270</v>
      </c>
      <c r="M388" s="726">
        <f t="shared" si="213"/>
        <v>0</v>
      </c>
      <c r="N388" s="726"/>
      <c r="O388" s="726">
        <f t="shared" si="214"/>
        <v>0</v>
      </c>
    </row>
    <row r="389" spans="1:15" x14ac:dyDescent="0.25">
      <c r="A389" s="694"/>
      <c r="B389" s="680" t="s">
        <v>179</v>
      </c>
      <c r="C389" s="701"/>
      <c r="D389" s="692"/>
      <c r="E389" s="692"/>
      <c r="F389" s="688"/>
      <c r="G389" s="690"/>
      <c r="H389" s="727"/>
      <c r="I389" s="761"/>
      <c r="J389" s="731"/>
      <c r="K389" s="731"/>
      <c r="L389" s="727"/>
      <c r="M389" s="726"/>
      <c r="N389" s="726"/>
      <c r="O389" s="726"/>
    </row>
    <row r="390" spans="1:15" x14ac:dyDescent="0.25">
      <c r="A390" s="694"/>
      <c r="B390" s="637" t="s">
        <v>1111</v>
      </c>
      <c r="C390" s="863">
        <v>378</v>
      </c>
      <c r="D390" s="730">
        <v>130</v>
      </c>
      <c r="E390" s="730"/>
      <c r="F390" s="688"/>
      <c r="G390" s="690"/>
      <c r="H390" s="727">
        <f t="shared" si="211"/>
        <v>508</v>
      </c>
      <c r="I390" s="761"/>
      <c r="J390" s="731"/>
      <c r="K390" s="731"/>
      <c r="L390" s="727">
        <f t="shared" si="212"/>
        <v>0</v>
      </c>
      <c r="M390" s="726">
        <f t="shared" si="213"/>
        <v>508</v>
      </c>
      <c r="N390" s="726"/>
      <c r="O390" s="726">
        <f t="shared" si="214"/>
        <v>508</v>
      </c>
    </row>
    <row r="391" spans="1:15" s="685" customFormat="1" ht="63" x14ac:dyDescent="0.25">
      <c r="A391" s="694"/>
      <c r="B391" s="637" t="s">
        <v>1167</v>
      </c>
      <c r="C391" s="701"/>
      <c r="D391" s="692"/>
      <c r="E391" s="730">
        <v>50</v>
      </c>
      <c r="F391" s="688"/>
      <c r="G391" s="690"/>
      <c r="H391" s="727">
        <f t="shared" si="211"/>
        <v>50</v>
      </c>
      <c r="I391" s="761"/>
      <c r="J391" s="731"/>
      <c r="K391" s="731"/>
      <c r="L391" s="727">
        <f t="shared" si="212"/>
        <v>0</v>
      </c>
      <c r="M391" s="726">
        <f t="shared" si="213"/>
        <v>50</v>
      </c>
      <c r="N391" s="726"/>
      <c r="O391" s="726">
        <f t="shared" si="214"/>
        <v>50</v>
      </c>
    </row>
    <row r="392" spans="1:15" ht="31.5" x14ac:dyDescent="0.25">
      <c r="A392" s="694"/>
      <c r="B392" s="637" t="s">
        <v>1168</v>
      </c>
      <c r="C392" s="701"/>
      <c r="D392" s="692"/>
      <c r="E392" s="730">
        <v>200</v>
      </c>
      <c r="F392" s="688"/>
      <c r="G392" s="690"/>
      <c r="H392" s="727">
        <f t="shared" si="211"/>
        <v>200</v>
      </c>
      <c r="I392" s="761"/>
      <c r="J392" s="731"/>
      <c r="K392" s="731"/>
      <c r="L392" s="727">
        <f t="shared" si="212"/>
        <v>0</v>
      </c>
      <c r="M392" s="726">
        <f t="shared" si="213"/>
        <v>200</v>
      </c>
      <c r="N392" s="726"/>
      <c r="O392" s="726">
        <f t="shared" si="214"/>
        <v>200</v>
      </c>
    </row>
    <row r="393" spans="1:15" s="685" customFormat="1" ht="47.25" x14ac:dyDescent="0.25">
      <c r="A393" s="694"/>
      <c r="B393" s="637" t="s">
        <v>1169</v>
      </c>
      <c r="C393" s="701"/>
      <c r="D393" s="692"/>
      <c r="E393" s="730">
        <v>100</v>
      </c>
      <c r="F393" s="688"/>
      <c r="G393" s="690"/>
      <c r="H393" s="727">
        <f t="shared" si="211"/>
        <v>100</v>
      </c>
      <c r="I393" s="761"/>
      <c r="J393" s="731"/>
      <c r="K393" s="731"/>
      <c r="L393" s="727">
        <f t="shared" si="212"/>
        <v>0</v>
      </c>
      <c r="M393" s="726">
        <f t="shared" si="213"/>
        <v>100</v>
      </c>
      <c r="N393" s="726"/>
      <c r="O393" s="726">
        <f t="shared" si="214"/>
        <v>100</v>
      </c>
    </row>
    <row r="394" spans="1:15" ht="31.5" x14ac:dyDescent="0.25">
      <c r="A394" s="694"/>
      <c r="B394" s="637" t="s">
        <v>1170</v>
      </c>
      <c r="C394" s="863"/>
      <c r="D394" s="730"/>
      <c r="E394" s="730">
        <v>100</v>
      </c>
      <c r="F394" s="688"/>
      <c r="G394" s="690"/>
      <c r="H394" s="727">
        <f t="shared" si="211"/>
        <v>100</v>
      </c>
      <c r="I394" s="761"/>
      <c r="J394" s="731"/>
      <c r="K394" s="731"/>
      <c r="L394" s="727">
        <f t="shared" si="212"/>
        <v>0</v>
      </c>
      <c r="M394" s="726">
        <f t="shared" si="213"/>
        <v>100</v>
      </c>
      <c r="N394" s="726"/>
      <c r="O394" s="726">
        <f t="shared" si="214"/>
        <v>100</v>
      </c>
    </row>
    <row r="395" spans="1:15" s="725" customFormat="1" ht="63" x14ac:dyDescent="0.25">
      <c r="A395" s="713"/>
      <c r="B395" s="638" t="s">
        <v>1171</v>
      </c>
      <c r="C395" s="871"/>
      <c r="D395" s="692"/>
      <c r="E395" s="730">
        <v>30</v>
      </c>
      <c r="F395" s="688"/>
      <c r="G395" s="692"/>
      <c r="H395" s="727">
        <f t="shared" si="211"/>
        <v>30</v>
      </c>
      <c r="I395" s="761"/>
      <c r="J395" s="731"/>
      <c r="K395" s="731"/>
      <c r="L395" s="727">
        <f t="shared" si="212"/>
        <v>0</v>
      </c>
      <c r="M395" s="727">
        <f t="shared" si="213"/>
        <v>30</v>
      </c>
      <c r="N395" s="727"/>
      <c r="O395" s="727">
        <f t="shared" si="214"/>
        <v>30</v>
      </c>
    </row>
    <row r="396" spans="1:15" s="725" customFormat="1" ht="63" x14ac:dyDescent="0.25">
      <c r="A396" s="713"/>
      <c r="B396" s="638" t="s">
        <v>1172</v>
      </c>
      <c r="C396" s="871"/>
      <c r="D396" s="692"/>
      <c r="E396" s="730">
        <v>20</v>
      </c>
      <c r="F396" s="688"/>
      <c r="G396" s="692"/>
      <c r="H396" s="727">
        <f t="shared" si="211"/>
        <v>20</v>
      </c>
      <c r="I396" s="761"/>
      <c r="J396" s="731"/>
      <c r="K396" s="731"/>
      <c r="L396" s="727">
        <f t="shared" si="212"/>
        <v>0</v>
      </c>
      <c r="M396" s="727">
        <f t="shared" si="213"/>
        <v>20</v>
      </c>
      <c r="N396" s="727"/>
      <c r="O396" s="727">
        <f t="shared" si="214"/>
        <v>20</v>
      </c>
    </row>
    <row r="397" spans="1:15" ht="48" thickBot="1" x14ac:dyDescent="0.3">
      <c r="A397" s="694"/>
      <c r="B397" s="637" t="s">
        <v>1173</v>
      </c>
      <c r="C397" s="701"/>
      <c r="D397" s="692"/>
      <c r="E397" s="730">
        <v>800</v>
      </c>
      <c r="F397" s="688"/>
      <c r="G397" s="690"/>
      <c r="H397" s="727">
        <f t="shared" si="211"/>
        <v>800</v>
      </c>
      <c r="I397" s="761"/>
      <c r="J397" s="731"/>
      <c r="K397" s="731"/>
      <c r="L397" s="727">
        <f t="shared" si="212"/>
        <v>0</v>
      </c>
      <c r="M397" s="726">
        <f t="shared" si="213"/>
        <v>800</v>
      </c>
      <c r="N397" s="726"/>
      <c r="O397" s="726">
        <f t="shared" si="214"/>
        <v>800</v>
      </c>
    </row>
    <row r="398" spans="1:15" ht="17.25" thickTop="1" thickBot="1" x14ac:dyDescent="0.3">
      <c r="A398" s="660"/>
      <c r="B398" s="659" t="s">
        <v>736</v>
      </c>
      <c r="C398" s="658">
        <f>+C383+C387+C388+C392+C393+C390+C391+C394+C395+C396+C397</f>
        <v>53949</v>
      </c>
      <c r="D398" s="658">
        <f t="shared" ref="D398:O398" si="215">+D383+D387+D388+D392+D393+D390+D391+D394+D395+D396+D397</f>
        <v>14840</v>
      </c>
      <c r="E398" s="658">
        <f t="shared" si="215"/>
        <v>56696</v>
      </c>
      <c r="F398" s="658">
        <f t="shared" si="215"/>
        <v>0</v>
      </c>
      <c r="G398" s="658">
        <f t="shared" si="215"/>
        <v>0</v>
      </c>
      <c r="H398" s="658">
        <f t="shared" si="215"/>
        <v>125485</v>
      </c>
      <c r="I398" s="658">
        <f t="shared" si="215"/>
        <v>270</v>
      </c>
      <c r="J398" s="658">
        <f t="shared" si="215"/>
        <v>0</v>
      </c>
      <c r="K398" s="658">
        <f t="shared" si="215"/>
        <v>0</v>
      </c>
      <c r="L398" s="658">
        <f t="shared" si="215"/>
        <v>270</v>
      </c>
      <c r="M398" s="658">
        <f t="shared" si="215"/>
        <v>125755</v>
      </c>
      <c r="N398" s="658">
        <f t="shared" si="215"/>
        <v>0</v>
      </c>
      <c r="O398" s="658">
        <f t="shared" si="215"/>
        <v>125755</v>
      </c>
    </row>
    <row r="399" spans="1:15" ht="17.25" thickTop="1" thickBot="1" x14ac:dyDescent="0.3">
      <c r="A399" s="660"/>
      <c r="B399" s="659" t="s">
        <v>735</v>
      </c>
      <c r="C399" s="658">
        <f t="shared" ref="C399:O399" si="216">+C384+C387+C388</f>
        <v>53012</v>
      </c>
      <c r="D399" s="658">
        <f t="shared" si="216"/>
        <v>14518</v>
      </c>
      <c r="E399" s="658">
        <f t="shared" si="216"/>
        <v>53406</v>
      </c>
      <c r="F399" s="658">
        <f t="shared" si="216"/>
        <v>0</v>
      </c>
      <c r="G399" s="658">
        <f t="shared" si="216"/>
        <v>0</v>
      </c>
      <c r="H399" s="658">
        <f t="shared" si="216"/>
        <v>120936</v>
      </c>
      <c r="I399" s="658">
        <f t="shared" si="216"/>
        <v>270</v>
      </c>
      <c r="J399" s="658">
        <f t="shared" si="216"/>
        <v>0</v>
      </c>
      <c r="K399" s="658">
        <f t="shared" si="216"/>
        <v>0</v>
      </c>
      <c r="L399" s="658">
        <f t="shared" si="216"/>
        <v>270</v>
      </c>
      <c r="M399" s="658">
        <f t="shared" si="216"/>
        <v>121206</v>
      </c>
      <c r="N399" s="658">
        <f t="shared" si="216"/>
        <v>0</v>
      </c>
      <c r="O399" s="658">
        <f t="shared" si="216"/>
        <v>121206</v>
      </c>
    </row>
    <row r="400" spans="1:15" ht="17.25" thickTop="1" thickBot="1" x14ac:dyDescent="0.3">
      <c r="A400" s="660"/>
      <c r="B400" s="659" t="s">
        <v>734</v>
      </c>
      <c r="C400" s="658">
        <f>+C385+C392+C393+C390+C391+C394+C395+C396+C397</f>
        <v>937</v>
      </c>
      <c r="D400" s="658">
        <f t="shared" ref="D400:O400" si="217">+D385+D392+D393+D390+D391+D394+D395+D396+D397</f>
        <v>322</v>
      </c>
      <c r="E400" s="658">
        <f t="shared" si="217"/>
        <v>3290</v>
      </c>
      <c r="F400" s="658">
        <f t="shared" si="217"/>
        <v>0</v>
      </c>
      <c r="G400" s="658">
        <f t="shared" si="217"/>
        <v>0</v>
      </c>
      <c r="H400" s="658">
        <f t="shared" si="217"/>
        <v>4549</v>
      </c>
      <c r="I400" s="658">
        <f t="shared" si="217"/>
        <v>0</v>
      </c>
      <c r="J400" s="658">
        <f t="shared" si="217"/>
        <v>0</v>
      </c>
      <c r="K400" s="658">
        <f t="shared" si="217"/>
        <v>0</v>
      </c>
      <c r="L400" s="658">
        <f t="shared" si="217"/>
        <v>0</v>
      </c>
      <c r="M400" s="658">
        <f t="shared" si="217"/>
        <v>4549</v>
      </c>
      <c r="N400" s="658">
        <f t="shared" si="217"/>
        <v>0</v>
      </c>
      <c r="O400" s="658">
        <f t="shared" si="217"/>
        <v>4549</v>
      </c>
    </row>
    <row r="401" spans="1:15" s="685" customFormat="1" ht="17.25" thickTop="1" thickBot="1" x14ac:dyDescent="0.3">
      <c r="A401" s="660"/>
      <c r="B401" s="659" t="s">
        <v>741</v>
      </c>
      <c r="C401" s="661">
        <f t="shared" ref="C401:O401" si="218">SUM(C313+C323+C337+C356+C367+C380+C398)</f>
        <v>1030664</v>
      </c>
      <c r="D401" s="661">
        <f t="shared" si="218"/>
        <v>280770</v>
      </c>
      <c r="E401" s="661">
        <f t="shared" si="218"/>
        <v>1210044</v>
      </c>
      <c r="F401" s="661">
        <f t="shared" si="218"/>
        <v>0</v>
      </c>
      <c r="G401" s="661">
        <f t="shared" si="218"/>
        <v>1981</v>
      </c>
      <c r="H401" s="661">
        <f t="shared" si="218"/>
        <v>2523459</v>
      </c>
      <c r="I401" s="661">
        <f t="shared" si="218"/>
        <v>58701</v>
      </c>
      <c r="J401" s="661">
        <f t="shared" si="218"/>
        <v>0</v>
      </c>
      <c r="K401" s="661">
        <f t="shared" si="218"/>
        <v>0</v>
      </c>
      <c r="L401" s="661">
        <f t="shared" si="218"/>
        <v>58701</v>
      </c>
      <c r="M401" s="661">
        <f t="shared" si="218"/>
        <v>2582160</v>
      </c>
      <c r="N401" s="661">
        <f t="shared" si="218"/>
        <v>0</v>
      </c>
      <c r="O401" s="661">
        <f t="shared" si="218"/>
        <v>2582160</v>
      </c>
    </row>
    <row r="402" spans="1:15" s="685" customFormat="1" ht="17.25" thickTop="1" thickBot="1" x14ac:dyDescent="0.3">
      <c r="A402" s="660"/>
      <c r="B402" s="659" t="s">
        <v>740</v>
      </c>
      <c r="C402" s="661">
        <f t="shared" ref="C402:O402" si="219">SUM(C246+C288+C300+C401)</f>
        <v>4609424</v>
      </c>
      <c r="D402" s="661">
        <f t="shared" si="219"/>
        <v>1295800</v>
      </c>
      <c r="E402" s="661">
        <f t="shared" si="219"/>
        <v>4225750</v>
      </c>
      <c r="F402" s="661">
        <f t="shared" si="219"/>
        <v>498</v>
      </c>
      <c r="G402" s="661">
        <f t="shared" si="219"/>
        <v>1981</v>
      </c>
      <c r="H402" s="661">
        <f t="shared" si="219"/>
        <v>10133453</v>
      </c>
      <c r="I402" s="661">
        <f t="shared" si="219"/>
        <v>73791</v>
      </c>
      <c r="J402" s="661">
        <f t="shared" si="219"/>
        <v>3958</v>
      </c>
      <c r="K402" s="661">
        <f t="shared" si="219"/>
        <v>0</v>
      </c>
      <c r="L402" s="661">
        <f t="shared" si="219"/>
        <v>77749</v>
      </c>
      <c r="M402" s="661">
        <f t="shared" si="219"/>
        <v>10211202</v>
      </c>
      <c r="N402" s="661">
        <f t="shared" si="219"/>
        <v>0</v>
      </c>
      <c r="O402" s="661">
        <f t="shared" si="219"/>
        <v>10211202</v>
      </c>
    </row>
    <row r="403" spans="1:15" s="685" customFormat="1" ht="16.5" thickTop="1" x14ac:dyDescent="0.25">
      <c r="A403" s="679" t="s">
        <v>434</v>
      </c>
      <c r="B403" s="700" t="s">
        <v>739</v>
      </c>
      <c r="C403" s="699"/>
      <c r="D403" s="677"/>
      <c r="E403" s="677"/>
      <c r="F403" s="675"/>
      <c r="G403" s="695"/>
      <c r="H403" s="674"/>
      <c r="I403" s="698"/>
      <c r="J403" s="696"/>
      <c r="K403" s="696"/>
      <c r="L403" s="674"/>
      <c r="M403" s="697"/>
      <c r="N403" s="697"/>
      <c r="O403" s="697"/>
    </row>
    <row r="404" spans="1:15" s="725" customFormat="1" x14ac:dyDescent="0.25">
      <c r="A404" s="679"/>
      <c r="B404" s="627" t="s">
        <v>653</v>
      </c>
      <c r="C404" s="678">
        <v>1567971</v>
      </c>
      <c r="D404" s="695">
        <v>438896</v>
      </c>
      <c r="E404" s="677">
        <v>367742</v>
      </c>
      <c r="F404" s="696">
        <v>11184</v>
      </c>
      <c r="G404" s="695"/>
      <c r="H404" s="674">
        <f>SUM(C404:G404)</f>
        <v>2385793</v>
      </c>
      <c r="I404" s="676">
        <v>75460</v>
      </c>
      <c r="J404" s="675">
        <v>26713</v>
      </c>
      <c r="K404" s="675"/>
      <c r="L404" s="674">
        <f>SUM(I404:K404)</f>
        <v>102173</v>
      </c>
      <c r="M404" s="673">
        <f>SUM(H404+L404)</f>
        <v>2487966</v>
      </c>
      <c r="N404" s="673"/>
      <c r="O404" s="673">
        <f>SUM(M404+N404)</f>
        <v>2487966</v>
      </c>
    </row>
    <row r="405" spans="1:15" s="725" customFormat="1" x14ac:dyDescent="0.25">
      <c r="A405" s="694"/>
      <c r="B405" s="680" t="s">
        <v>738</v>
      </c>
      <c r="C405" s="693">
        <v>714863</v>
      </c>
      <c r="D405" s="690">
        <v>207919</v>
      </c>
      <c r="E405" s="692">
        <v>202713</v>
      </c>
      <c r="F405" s="691">
        <v>11184</v>
      </c>
      <c r="G405" s="690"/>
      <c r="H405" s="687">
        <f>SUM(C405:G405)</f>
        <v>1136679</v>
      </c>
      <c r="I405" s="689">
        <v>45509</v>
      </c>
      <c r="J405" s="688">
        <v>15547</v>
      </c>
      <c r="K405" s="688"/>
      <c r="L405" s="687">
        <f>SUM(I405:K405)</f>
        <v>61056</v>
      </c>
      <c r="M405" s="686">
        <f>SUM(H405+L405)</f>
        <v>1197735</v>
      </c>
      <c r="N405" s="686"/>
      <c r="O405" s="686">
        <f>SUM(M405+N405)</f>
        <v>1197735</v>
      </c>
    </row>
    <row r="406" spans="1:15" x14ac:dyDescent="0.25">
      <c r="A406" s="694"/>
      <c r="B406" s="680" t="s">
        <v>737</v>
      </c>
      <c r="C406" s="693">
        <v>360680</v>
      </c>
      <c r="D406" s="690">
        <v>92403</v>
      </c>
      <c r="E406" s="692">
        <v>25315</v>
      </c>
      <c r="F406" s="691"/>
      <c r="G406" s="690"/>
      <c r="H406" s="687">
        <f>SUM(C406:G406)</f>
        <v>478398</v>
      </c>
      <c r="I406" s="689">
        <v>0</v>
      </c>
      <c r="J406" s="688">
        <v>0</v>
      </c>
      <c r="K406" s="688"/>
      <c r="L406" s="687">
        <f>SUM(I406:K406)</f>
        <v>0</v>
      </c>
      <c r="M406" s="686">
        <f>SUM(H406+L406)</f>
        <v>478398</v>
      </c>
      <c r="N406" s="686"/>
      <c r="O406" s="686">
        <f>SUM(M406+N406)</f>
        <v>478398</v>
      </c>
    </row>
    <row r="407" spans="1:15" x14ac:dyDescent="0.25">
      <c r="A407" s="694"/>
      <c r="B407" s="680" t="s">
        <v>813</v>
      </c>
      <c r="C407" s="693">
        <v>492428</v>
      </c>
      <c r="D407" s="690">
        <v>138574</v>
      </c>
      <c r="E407" s="692">
        <v>139714</v>
      </c>
      <c r="F407" s="691"/>
      <c r="G407" s="690"/>
      <c r="H407" s="687">
        <f>SUM(C407:G407)</f>
        <v>770716</v>
      </c>
      <c r="I407" s="689">
        <v>29951</v>
      </c>
      <c r="J407" s="688">
        <v>11166</v>
      </c>
      <c r="K407" s="688"/>
      <c r="L407" s="687">
        <f>SUM(I407:K407)</f>
        <v>41117</v>
      </c>
      <c r="M407" s="686">
        <f>SUM(H407+L407)</f>
        <v>811833</v>
      </c>
      <c r="N407" s="686"/>
      <c r="O407" s="686">
        <f>SUM(M407+N407)</f>
        <v>811833</v>
      </c>
    </row>
    <row r="408" spans="1:15" ht="15.75" customHeight="1" x14ac:dyDescent="0.25">
      <c r="A408" s="694"/>
      <c r="B408" s="680" t="s">
        <v>178</v>
      </c>
      <c r="C408" s="693"/>
      <c r="D408" s="690"/>
      <c r="E408" s="692"/>
      <c r="F408" s="691"/>
      <c r="G408" s="690"/>
      <c r="H408" s="687"/>
      <c r="I408" s="689"/>
      <c r="J408" s="688"/>
      <c r="K408" s="688"/>
      <c r="L408" s="687"/>
      <c r="M408" s="686"/>
      <c r="N408" s="686"/>
      <c r="O408" s="686"/>
    </row>
    <row r="409" spans="1:15" x14ac:dyDescent="0.25">
      <c r="A409" s="694"/>
      <c r="B409" s="637" t="s">
        <v>1174</v>
      </c>
      <c r="C409" s="858">
        <v>956</v>
      </c>
      <c r="D409" s="859">
        <v>258</v>
      </c>
      <c r="E409" s="692"/>
      <c r="F409" s="691"/>
      <c r="G409" s="690"/>
      <c r="H409" s="727">
        <f t="shared" ref="H409:H417" si="220">SUM(C409:G409)</f>
        <v>1214</v>
      </c>
      <c r="I409" s="689"/>
      <c r="J409" s="688"/>
      <c r="K409" s="688"/>
      <c r="L409" s="687">
        <f t="shared" ref="L409:L410" si="221">SUM(I409:K409)</f>
        <v>0</v>
      </c>
      <c r="M409" s="686">
        <f t="shared" ref="M409:M417" si="222">SUM(H409+L409)</f>
        <v>1214</v>
      </c>
      <c r="N409" s="686"/>
      <c r="O409" s="686">
        <f t="shared" ref="O409:O417" si="223">SUM(M409+N409)</f>
        <v>1214</v>
      </c>
    </row>
    <row r="410" spans="1:15" s="685" customFormat="1" ht="15" customHeight="1" x14ac:dyDescent="0.25">
      <c r="A410" s="694"/>
      <c r="B410" s="853" t="s">
        <v>1137</v>
      </c>
      <c r="C410" s="863">
        <v>19949</v>
      </c>
      <c r="D410" s="730">
        <v>5386</v>
      </c>
      <c r="E410" s="730"/>
      <c r="F410" s="688"/>
      <c r="G410" s="690"/>
      <c r="H410" s="727">
        <f t="shared" si="220"/>
        <v>25335</v>
      </c>
      <c r="I410" s="761"/>
      <c r="J410" s="731"/>
      <c r="K410" s="731"/>
      <c r="L410" s="727">
        <f t="shared" si="221"/>
        <v>0</v>
      </c>
      <c r="M410" s="726">
        <f t="shared" si="222"/>
        <v>25335</v>
      </c>
      <c r="N410" s="726"/>
      <c r="O410" s="726">
        <f t="shared" si="223"/>
        <v>25335</v>
      </c>
    </row>
    <row r="411" spans="1:15" s="685" customFormat="1" ht="31.5" x14ac:dyDescent="0.25">
      <c r="A411" s="694"/>
      <c r="B411" s="637" t="s">
        <v>1156</v>
      </c>
      <c r="C411" s="863"/>
      <c r="D411" s="859"/>
      <c r="E411" s="730"/>
      <c r="F411" s="860"/>
      <c r="G411" s="690"/>
      <c r="H411" s="727">
        <f t="shared" si="220"/>
        <v>0</v>
      </c>
      <c r="I411" s="761">
        <v>-807</v>
      </c>
      <c r="J411" s="731">
        <v>807</v>
      </c>
      <c r="K411" s="731"/>
      <c r="L411" s="727">
        <f t="shared" ref="L411:L417" si="224">SUM(I411:K411)</f>
        <v>0</v>
      </c>
      <c r="M411" s="726">
        <f t="shared" si="222"/>
        <v>0</v>
      </c>
      <c r="N411" s="726"/>
      <c r="O411" s="726">
        <f t="shared" si="223"/>
        <v>0</v>
      </c>
    </row>
    <row r="412" spans="1:15" s="685" customFormat="1" ht="15" customHeight="1" x14ac:dyDescent="0.25">
      <c r="A412" s="694"/>
      <c r="B412" s="680" t="s">
        <v>179</v>
      </c>
      <c r="C412" s="693"/>
      <c r="D412" s="690"/>
      <c r="E412" s="692"/>
      <c r="F412" s="691"/>
      <c r="G412" s="690"/>
      <c r="H412" s="727">
        <f t="shared" si="220"/>
        <v>0</v>
      </c>
      <c r="I412" s="689"/>
      <c r="J412" s="688"/>
      <c r="K412" s="688"/>
      <c r="L412" s="727">
        <f t="shared" si="224"/>
        <v>0</v>
      </c>
      <c r="M412" s="726">
        <f t="shared" si="222"/>
        <v>0</v>
      </c>
      <c r="N412" s="726"/>
      <c r="O412" s="726">
        <f t="shared" si="223"/>
        <v>0</v>
      </c>
    </row>
    <row r="413" spans="1:15" s="685" customFormat="1" x14ac:dyDescent="0.25">
      <c r="A413" s="733"/>
      <c r="B413" s="852" t="s">
        <v>1138</v>
      </c>
      <c r="C413" s="922">
        <v>1859</v>
      </c>
      <c r="D413" s="923">
        <v>641</v>
      </c>
      <c r="E413" s="730"/>
      <c r="F413" s="860"/>
      <c r="G413" s="859"/>
      <c r="H413" s="727">
        <f t="shared" si="220"/>
        <v>2500</v>
      </c>
      <c r="I413" s="761"/>
      <c r="J413" s="731"/>
      <c r="K413" s="731"/>
      <c r="L413" s="727">
        <f t="shared" si="224"/>
        <v>0</v>
      </c>
      <c r="M413" s="726">
        <f t="shared" si="222"/>
        <v>2500</v>
      </c>
      <c r="N413" s="726"/>
      <c r="O413" s="726">
        <f t="shared" si="223"/>
        <v>2500</v>
      </c>
    </row>
    <row r="414" spans="1:15" s="685" customFormat="1" x14ac:dyDescent="0.25">
      <c r="A414" s="733"/>
      <c r="B414" s="852" t="s">
        <v>1139</v>
      </c>
      <c r="C414" s="858"/>
      <c r="D414" s="859"/>
      <c r="E414" s="730">
        <v>752</v>
      </c>
      <c r="F414" s="860"/>
      <c r="G414" s="859"/>
      <c r="H414" s="727">
        <f t="shared" si="220"/>
        <v>752</v>
      </c>
      <c r="I414" s="761"/>
      <c r="J414" s="731"/>
      <c r="K414" s="731"/>
      <c r="L414" s="727">
        <f t="shared" si="224"/>
        <v>0</v>
      </c>
      <c r="M414" s="726">
        <f t="shared" si="222"/>
        <v>752</v>
      </c>
      <c r="N414" s="726"/>
      <c r="O414" s="726">
        <f t="shared" si="223"/>
        <v>752</v>
      </c>
    </row>
    <row r="415" spans="1:15" s="685" customFormat="1" x14ac:dyDescent="0.25">
      <c r="A415" s="694"/>
      <c r="B415" s="680" t="s">
        <v>538</v>
      </c>
      <c r="C415" s="693"/>
      <c r="D415" s="690"/>
      <c r="E415" s="692"/>
      <c r="F415" s="691"/>
      <c r="G415" s="690"/>
      <c r="H415" s="727">
        <f t="shared" si="220"/>
        <v>0</v>
      </c>
      <c r="I415" s="689"/>
      <c r="J415" s="688"/>
      <c r="K415" s="688"/>
      <c r="L415" s="727">
        <f t="shared" si="224"/>
        <v>0</v>
      </c>
      <c r="M415" s="726">
        <f t="shared" si="222"/>
        <v>0</v>
      </c>
      <c r="N415" s="726"/>
      <c r="O415" s="726">
        <f t="shared" si="223"/>
        <v>0</v>
      </c>
    </row>
    <row r="416" spans="1:15" s="685" customFormat="1" x14ac:dyDescent="0.25">
      <c r="A416" s="694"/>
      <c r="B416" s="853" t="s">
        <v>1137</v>
      </c>
      <c r="C416" s="858">
        <v>14327</v>
      </c>
      <c r="D416" s="859">
        <v>3869</v>
      </c>
      <c r="E416" s="692"/>
      <c r="F416" s="691"/>
      <c r="G416" s="690"/>
      <c r="H416" s="727">
        <f t="shared" si="220"/>
        <v>18196</v>
      </c>
      <c r="I416" s="761"/>
      <c r="J416" s="688"/>
      <c r="K416" s="688"/>
      <c r="L416" s="727">
        <f t="shared" si="224"/>
        <v>0</v>
      </c>
      <c r="M416" s="726">
        <f t="shared" si="222"/>
        <v>18196</v>
      </c>
      <c r="N416" s="726"/>
      <c r="O416" s="726">
        <f t="shared" si="223"/>
        <v>18196</v>
      </c>
    </row>
    <row r="417" spans="1:15" s="685" customFormat="1" ht="32.25" thickBot="1" x14ac:dyDescent="0.3">
      <c r="A417" s="733"/>
      <c r="B417" s="637" t="s">
        <v>1156</v>
      </c>
      <c r="C417" s="858"/>
      <c r="D417" s="859"/>
      <c r="E417" s="730"/>
      <c r="F417" s="860"/>
      <c r="G417" s="859"/>
      <c r="H417" s="727">
        <f t="shared" si="220"/>
        <v>0</v>
      </c>
      <c r="I417" s="761">
        <v>-580</v>
      </c>
      <c r="J417" s="731">
        <v>580</v>
      </c>
      <c r="K417" s="731"/>
      <c r="L417" s="727">
        <f t="shared" si="224"/>
        <v>0</v>
      </c>
      <c r="M417" s="726">
        <f t="shared" si="222"/>
        <v>0</v>
      </c>
      <c r="N417" s="726"/>
      <c r="O417" s="726">
        <f t="shared" si="223"/>
        <v>0</v>
      </c>
    </row>
    <row r="418" spans="1:15" s="685" customFormat="1" ht="17.25" thickTop="1" thickBot="1" x14ac:dyDescent="0.3">
      <c r="A418" s="660"/>
      <c r="B418" s="659" t="s">
        <v>736</v>
      </c>
      <c r="C418" s="658">
        <f>+C404+C409+C416+C410+C411+C413+C417+C414</f>
        <v>1605062</v>
      </c>
      <c r="D418" s="658">
        <f t="shared" ref="D418:O418" si="225">+D404+D409+D416+D410+D411+D413+D417+D414</f>
        <v>449050</v>
      </c>
      <c r="E418" s="658">
        <f t="shared" si="225"/>
        <v>368494</v>
      </c>
      <c r="F418" s="658">
        <f t="shared" si="225"/>
        <v>11184</v>
      </c>
      <c r="G418" s="658">
        <f t="shared" si="225"/>
        <v>0</v>
      </c>
      <c r="H418" s="658">
        <f t="shared" si="225"/>
        <v>2433790</v>
      </c>
      <c r="I418" s="658">
        <f t="shared" si="225"/>
        <v>74073</v>
      </c>
      <c r="J418" s="658">
        <f t="shared" si="225"/>
        <v>28100</v>
      </c>
      <c r="K418" s="658">
        <f t="shared" si="225"/>
        <v>0</v>
      </c>
      <c r="L418" s="658">
        <f t="shared" si="225"/>
        <v>102173</v>
      </c>
      <c r="M418" s="658">
        <f t="shared" si="225"/>
        <v>2535963</v>
      </c>
      <c r="N418" s="658">
        <f t="shared" si="225"/>
        <v>0</v>
      </c>
      <c r="O418" s="658">
        <f t="shared" si="225"/>
        <v>2535963</v>
      </c>
    </row>
    <row r="419" spans="1:15" s="685" customFormat="1" ht="17.25" thickTop="1" thickBot="1" x14ac:dyDescent="0.3">
      <c r="A419" s="660"/>
      <c r="B419" s="659" t="s">
        <v>735</v>
      </c>
      <c r="C419" s="658">
        <f>+C405+C409+C410+C411</f>
        <v>735768</v>
      </c>
      <c r="D419" s="658">
        <f t="shared" ref="D419:O419" si="226">+D405+D409+D410+D411</f>
        <v>213563</v>
      </c>
      <c r="E419" s="658">
        <f t="shared" si="226"/>
        <v>202713</v>
      </c>
      <c r="F419" s="658">
        <f t="shared" si="226"/>
        <v>11184</v>
      </c>
      <c r="G419" s="658">
        <f t="shared" si="226"/>
        <v>0</v>
      </c>
      <c r="H419" s="658">
        <f t="shared" si="226"/>
        <v>1163228</v>
      </c>
      <c r="I419" s="658">
        <f t="shared" si="226"/>
        <v>44702</v>
      </c>
      <c r="J419" s="658">
        <f t="shared" si="226"/>
        <v>16354</v>
      </c>
      <c r="K419" s="658">
        <f t="shared" si="226"/>
        <v>0</v>
      </c>
      <c r="L419" s="658">
        <f t="shared" si="226"/>
        <v>61056</v>
      </c>
      <c r="M419" s="658">
        <f t="shared" si="226"/>
        <v>1224284</v>
      </c>
      <c r="N419" s="658">
        <f t="shared" si="226"/>
        <v>0</v>
      </c>
      <c r="O419" s="658">
        <f t="shared" si="226"/>
        <v>1224284</v>
      </c>
    </row>
    <row r="420" spans="1:15" s="685" customFormat="1" ht="17.25" thickTop="1" thickBot="1" x14ac:dyDescent="0.3">
      <c r="A420" s="660"/>
      <c r="B420" s="659" t="s">
        <v>734</v>
      </c>
      <c r="C420" s="658">
        <f t="shared" ref="C420:O420" si="227">+C406+C413+C414</f>
        <v>362539</v>
      </c>
      <c r="D420" s="658">
        <f t="shared" si="227"/>
        <v>93044</v>
      </c>
      <c r="E420" s="658">
        <f t="shared" si="227"/>
        <v>26067</v>
      </c>
      <c r="F420" s="658">
        <f t="shared" si="227"/>
        <v>0</v>
      </c>
      <c r="G420" s="658">
        <f t="shared" si="227"/>
        <v>0</v>
      </c>
      <c r="H420" s="658">
        <f t="shared" si="227"/>
        <v>481650</v>
      </c>
      <c r="I420" s="658">
        <f t="shared" si="227"/>
        <v>0</v>
      </c>
      <c r="J420" s="658">
        <f t="shared" si="227"/>
        <v>0</v>
      </c>
      <c r="K420" s="658">
        <f t="shared" si="227"/>
        <v>0</v>
      </c>
      <c r="L420" s="658">
        <f t="shared" si="227"/>
        <v>0</v>
      </c>
      <c r="M420" s="658">
        <f t="shared" si="227"/>
        <v>481650</v>
      </c>
      <c r="N420" s="658">
        <f t="shared" si="227"/>
        <v>0</v>
      </c>
      <c r="O420" s="658">
        <f t="shared" si="227"/>
        <v>481650</v>
      </c>
    </row>
    <row r="421" spans="1:15" s="685" customFormat="1" ht="33" thickTop="1" thickBot="1" x14ac:dyDescent="0.3">
      <c r="A421" s="660"/>
      <c r="B421" s="659" t="s">
        <v>812</v>
      </c>
      <c r="C421" s="658">
        <f t="shared" ref="C421:O421" si="228">+C407+C416+C417</f>
        <v>506755</v>
      </c>
      <c r="D421" s="658">
        <f t="shared" si="228"/>
        <v>142443</v>
      </c>
      <c r="E421" s="658">
        <f t="shared" si="228"/>
        <v>139714</v>
      </c>
      <c r="F421" s="658">
        <f t="shared" si="228"/>
        <v>0</v>
      </c>
      <c r="G421" s="658">
        <f t="shared" si="228"/>
        <v>0</v>
      </c>
      <c r="H421" s="658">
        <f t="shared" si="228"/>
        <v>788912</v>
      </c>
      <c r="I421" s="658">
        <f t="shared" si="228"/>
        <v>29371</v>
      </c>
      <c r="J421" s="658">
        <f t="shared" si="228"/>
        <v>11746</v>
      </c>
      <c r="K421" s="658">
        <f t="shared" si="228"/>
        <v>0</v>
      </c>
      <c r="L421" s="658">
        <f t="shared" si="228"/>
        <v>41117</v>
      </c>
      <c r="M421" s="658">
        <f t="shared" si="228"/>
        <v>830029</v>
      </c>
      <c r="N421" s="658">
        <f t="shared" si="228"/>
        <v>0</v>
      </c>
      <c r="O421" s="658">
        <f t="shared" si="228"/>
        <v>830029</v>
      </c>
    </row>
    <row r="422" spans="1:15" s="685" customFormat="1" ht="17.25" thickTop="1" thickBot="1" x14ac:dyDescent="0.3">
      <c r="A422" s="660"/>
      <c r="B422" s="659" t="s">
        <v>728</v>
      </c>
      <c r="C422" s="661">
        <f t="shared" ref="C422:O422" si="229">SUM(C402+C418)</f>
        <v>6214486</v>
      </c>
      <c r="D422" s="661">
        <f t="shared" si="229"/>
        <v>1744850</v>
      </c>
      <c r="E422" s="661">
        <f t="shared" si="229"/>
        <v>4594244</v>
      </c>
      <c r="F422" s="661">
        <f t="shared" si="229"/>
        <v>11682</v>
      </c>
      <c r="G422" s="661">
        <f t="shared" si="229"/>
        <v>1981</v>
      </c>
      <c r="H422" s="661">
        <f t="shared" si="229"/>
        <v>12567243</v>
      </c>
      <c r="I422" s="661">
        <f t="shared" si="229"/>
        <v>147864</v>
      </c>
      <c r="J422" s="661">
        <f t="shared" si="229"/>
        <v>32058</v>
      </c>
      <c r="K422" s="661">
        <f t="shared" si="229"/>
        <v>0</v>
      </c>
      <c r="L422" s="661">
        <f t="shared" si="229"/>
        <v>179922</v>
      </c>
      <c r="M422" s="661">
        <f t="shared" si="229"/>
        <v>12747165</v>
      </c>
      <c r="N422" s="661">
        <f t="shared" si="229"/>
        <v>0</v>
      </c>
      <c r="O422" s="661">
        <f t="shared" si="229"/>
        <v>12747165</v>
      </c>
    </row>
    <row r="423" spans="1:15" ht="17.25" thickTop="1" thickBot="1" x14ac:dyDescent="0.3">
      <c r="A423" s="660"/>
      <c r="B423" s="659" t="s">
        <v>653</v>
      </c>
      <c r="C423" s="661">
        <f t="shared" ref="C423:O423" si="230">SUM(C8+C19+C33+C46+C58+C70+C82+C94+C107+C118+C129+C140+C152+C164+C176+C189+C201+C212+C223+C235+C248+C262+C275+C290+C304+C316+C326+C341+C360+C370+C383+C404)</f>
        <v>6113402</v>
      </c>
      <c r="D423" s="661">
        <f t="shared" si="230"/>
        <v>1715998</v>
      </c>
      <c r="E423" s="661">
        <f t="shared" si="230"/>
        <v>4561989</v>
      </c>
      <c r="F423" s="661">
        <f t="shared" si="230"/>
        <v>11184</v>
      </c>
      <c r="G423" s="661">
        <f t="shared" si="230"/>
        <v>0</v>
      </c>
      <c r="H423" s="661">
        <f t="shared" si="230"/>
        <v>12402573</v>
      </c>
      <c r="I423" s="661">
        <f t="shared" si="230"/>
        <v>134705</v>
      </c>
      <c r="J423" s="661">
        <f t="shared" si="230"/>
        <v>26713</v>
      </c>
      <c r="K423" s="661">
        <f t="shared" si="230"/>
        <v>0</v>
      </c>
      <c r="L423" s="661">
        <f t="shared" si="230"/>
        <v>161418</v>
      </c>
      <c r="M423" s="661">
        <f t="shared" si="230"/>
        <v>12563991</v>
      </c>
      <c r="N423" s="661">
        <f t="shared" si="230"/>
        <v>0</v>
      </c>
      <c r="O423" s="661">
        <f t="shared" si="230"/>
        <v>12563991</v>
      </c>
    </row>
    <row r="424" spans="1:15" ht="16.5" thickTop="1" x14ac:dyDescent="0.25">
      <c r="A424" s="665"/>
      <c r="B424" s="777" t="s">
        <v>178</v>
      </c>
      <c r="C424" s="664"/>
      <c r="D424" s="664"/>
      <c r="E424" s="664"/>
      <c r="F424" s="664"/>
      <c r="G424" s="663"/>
      <c r="H424" s="662"/>
      <c r="I424" s="664"/>
      <c r="J424" s="664"/>
      <c r="K424" s="663"/>
      <c r="L424" s="662"/>
      <c r="M424" s="662"/>
      <c r="N424" s="662"/>
      <c r="O424" s="662"/>
    </row>
    <row r="425" spans="1:15" x14ac:dyDescent="0.25">
      <c r="A425" s="665"/>
      <c r="B425" s="777" t="s">
        <v>1110</v>
      </c>
      <c r="C425" s="664">
        <f t="shared" ref="C425:O425" si="231">C12+C23+C37+C50+C62+C74+C86+C98+C111+C122+C133+C144+C156+C168+C180+C193+C205+C216+C227+C239+C252+C266+C279+C294+C330+C345+C387+C409</f>
        <v>10895</v>
      </c>
      <c r="D425" s="664">
        <f t="shared" si="231"/>
        <v>2941</v>
      </c>
      <c r="E425" s="664">
        <f t="shared" si="231"/>
        <v>0</v>
      </c>
      <c r="F425" s="664">
        <f t="shared" si="231"/>
        <v>0</v>
      </c>
      <c r="G425" s="663">
        <f t="shared" si="231"/>
        <v>0</v>
      </c>
      <c r="H425" s="662">
        <f t="shared" si="231"/>
        <v>13836</v>
      </c>
      <c r="I425" s="664">
        <f t="shared" si="231"/>
        <v>0</v>
      </c>
      <c r="J425" s="664">
        <f t="shared" si="231"/>
        <v>0</v>
      </c>
      <c r="K425" s="663">
        <f t="shared" si="231"/>
        <v>0</v>
      </c>
      <c r="L425" s="662">
        <f t="shared" si="231"/>
        <v>0</v>
      </c>
      <c r="M425" s="662">
        <f t="shared" si="231"/>
        <v>13836</v>
      </c>
      <c r="N425" s="662">
        <f t="shared" si="231"/>
        <v>0</v>
      </c>
      <c r="O425" s="662">
        <f t="shared" si="231"/>
        <v>13836</v>
      </c>
    </row>
    <row r="426" spans="1:15" ht="31.5" x14ac:dyDescent="0.25">
      <c r="A426" s="665"/>
      <c r="B426" s="777" t="s">
        <v>1152</v>
      </c>
      <c r="C426" s="664">
        <f t="shared" ref="C426:O426" si="232">C24+C38+C51+C63+C75+C87+C99+C253+C267+C280</f>
        <v>6027</v>
      </c>
      <c r="D426" s="664">
        <f t="shared" si="232"/>
        <v>1627</v>
      </c>
      <c r="E426" s="664">
        <f t="shared" si="232"/>
        <v>0</v>
      </c>
      <c r="F426" s="664">
        <f t="shared" si="232"/>
        <v>0</v>
      </c>
      <c r="G426" s="663">
        <f t="shared" si="232"/>
        <v>0</v>
      </c>
      <c r="H426" s="662">
        <f t="shared" si="232"/>
        <v>7654</v>
      </c>
      <c r="I426" s="664">
        <f t="shared" si="232"/>
        <v>0</v>
      </c>
      <c r="J426" s="664">
        <f t="shared" si="232"/>
        <v>0</v>
      </c>
      <c r="K426" s="663">
        <f t="shared" si="232"/>
        <v>0</v>
      </c>
      <c r="L426" s="662">
        <f t="shared" si="232"/>
        <v>0</v>
      </c>
      <c r="M426" s="662">
        <f t="shared" si="232"/>
        <v>7654</v>
      </c>
      <c r="N426" s="662">
        <f t="shared" si="232"/>
        <v>0</v>
      </c>
      <c r="O426" s="662">
        <f t="shared" si="232"/>
        <v>7654</v>
      </c>
    </row>
    <row r="427" spans="1:15" ht="47.25" x14ac:dyDescent="0.25">
      <c r="A427" s="665"/>
      <c r="B427" s="777" t="s">
        <v>1121</v>
      </c>
      <c r="C427" s="664">
        <f t="shared" ref="C427:O427" si="233">C331</f>
        <v>0</v>
      </c>
      <c r="D427" s="664">
        <f t="shared" si="233"/>
        <v>0</v>
      </c>
      <c r="E427" s="664">
        <f t="shared" si="233"/>
        <v>7348</v>
      </c>
      <c r="F427" s="664">
        <f t="shared" si="233"/>
        <v>0</v>
      </c>
      <c r="G427" s="663">
        <f t="shared" si="233"/>
        <v>0</v>
      </c>
      <c r="H427" s="662">
        <f t="shared" si="233"/>
        <v>7348</v>
      </c>
      <c r="I427" s="664">
        <f t="shared" si="233"/>
        <v>0</v>
      </c>
      <c r="J427" s="664">
        <f t="shared" si="233"/>
        <v>0</v>
      </c>
      <c r="K427" s="663">
        <f t="shared" si="233"/>
        <v>0</v>
      </c>
      <c r="L427" s="662">
        <f t="shared" si="233"/>
        <v>0</v>
      </c>
      <c r="M427" s="662">
        <f t="shared" si="233"/>
        <v>7348</v>
      </c>
      <c r="N427" s="662">
        <f t="shared" si="233"/>
        <v>0</v>
      </c>
      <c r="O427" s="662">
        <f t="shared" si="233"/>
        <v>7348</v>
      </c>
    </row>
    <row r="428" spans="1:15" s="685" customFormat="1" x14ac:dyDescent="0.25">
      <c r="A428" s="665"/>
      <c r="B428" s="777" t="s">
        <v>942</v>
      </c>
      <c r="C428" s="664">
        <f t="shared" ref="C428:O428" si="234">C295+C254+C332+C346+C169+C181+C268</f>
        <v>7178</v>
      </c>
      <c r="D428" s="664">
        <f t="shared" si="234"/>
        <v>1937</v>
      </c>
      <c r="E428" s="664">
        <f t="shared" si="234"/>
        <v>0</v>
      </c>
      <c r="F428" s="664">
        <f t="shared" si="234"/>
        <v>0</v>
      </c>
      <c r="G428" s="663">
        <f t="shared" si="234"/>
        <v>0</v>
      </c>
      <c r="H428" s="662">
        <f t="shared" si="234"/>
        <v>9115</v>
      </c>
      <c r="I428" s="664">
        <f t="shared" si="234"/>
        <v>0</v>
      </c>
      <c r="J428" s="664">
        <f t="shared" si="234"/>
        <v>0</v>
      </c>
      <c r="K428" s="663">
        <f t="shared" si="234"/>
        <v>0</v>
      </c>
      <c r="L428" s="662">
        <f t="shared" si="234"/>
        <v>0</v>
      </c>
      <c r="M428" s="662">
        <f t="shared" si="234"/>
        <v>9115</v>
      </c>
      <c r="N428" s="662">
        <f t="shared" si="234"/>
        <v>0</v>
      </c>
      <c r="O428" s="662">
        <f t="shared" si="234"/>
        <v>9115</v>
      </c>
    </row>
    <row r="429" spans="1:15" s="685" customFormat="1" ht="31.5" x14ac:dyDescent="0.25">
      <c r="A429" s="665"/>
      <c r="B429" s="777" t="s">
        <v>941</v>
      </c>
      <c r="C429" s="664">
        <f t="shared" ref="C429:O429" si="235">C39+C145+C157+C182+C194+C296+C333</f>
        <v>2320</v>
      </c>
      <c r="D429" s="664">
        <f t="shared" si="235"/>
        <v>627</v>
      </c>
      <c r="E429" s="664">
        <f t="shared" si="235"/>
        <v>0</v>
      </c>
      <c r="F429" s="664">
        <f t="shared" si="235"/>
        <v>0</v>
      </c>
      <c r="G429" s="663">
        <f t="shared" si="235"/>
        <v>0</v>
      </c>
      <c r="H429" s="662">
        <f t="shared" si="235"/>
        <v>2947</v>
      </c>
      <c r="I429" s="664">
        <f t="shared" si="235"/>
        <v>0</v>
      </c>
      <c r="J429" s="664">
        <f t="shared" si="235"/>
        <v>0</v>
      </c>
      <c r="K429" s="663">
        <f t="shared" si="235"/>
        <v>0</v>
      </c>
      <c r="L429" s="662">
        <f t="shared" si="235"/>
        <v>0</v>
      </c>
      <c r="M429" s="662">
        <f t="shared" si="235"/>
        <v>2947</v>
      </c>
      <c r="N429" s="662">
        <f t="shared" si="235"/>
        <v>0</v>
      </c>
      <c r="O429" s="662">
        <f t="shared" si="235"/>
        <v>2947</v>
      </c>
    </row>
    <row r="430" spans="1:15" s="685" customFormat="1" ht="31.5" x14ac:dyDescent="0.25">
      <c r="A430" s="665"/>
      <c r="B430" s="777" t="s">
        <v>1156</v>
      </c>
      <c r="C430" s="664">
        <f t="shared" ref="C430:O430" si="236">C255+C281+C297+C347+C411+C388</f>
        <v>-1417</v>
      </c>
      <c r="D430" s="664">
        <f t="shared" si="236"/>
        <v>-383</v>
      </c>
      <c r="E430" s="664">
        <f t="shared" si="236"/>
        <v>-15910</v>
      </c>
      <c r="F430" s="664">
        <f t="shared" si="236"/>
        <v>498</v>
      </c>
      <c r="G430" s="663">
        <f t="shared" si="236"/>
        <v>0</v>
      </c>
      <c r="H430" s="662">
        <f t="shared" si="236"/>
        <v>-17212</v>
      </c>
      <c r="I430" s="664">
        <f t="shared" si="236"/>
        <v>12447</v>
      </c>
      <c r="J430" s="664">
        <f t="shared" si="236"/>
        <v>4765</v>
      </c>
      <c r="K430" s="663">
        <f t="shared" si="236"/>
        <v>0</v>
      </c>
      <c r="L430" s="662">
        <f t="shared" si="236"/>
        <v>17212</v>
      </c>
      <c r="M430" s="662">
        <f t="shared" si="236"/>
        <v>0</v>
      </c>
      <c r="N430" s="662">
        <f t="shared" si="236"/>
        <v>0</v>
      </c>
      <c r="O430" s="662">
        <f t="shared" si="236"/>
        <v>0</v>
      </c>
    </row>
    <row r="431" spans="1:15" s="725" customFormat="1" ht="31.5" x14ac:dyDescent="0.25">
      <c r="A431" s="665"/>
      <c r="B431" s="777" t="s">
        <v>1157</v>
      </c>
      <c r="C431" s="664">
        <f t="shared" ref="C431:O431" si="237">C282</f>
        <v>4168</v>
      </c>
      <c r="D431" s="664">
        <f t="shared" si="237"/>
        <v>588</v>
      </c>
      <c r="E431" s="664">
        <f t="shared" si="237"/>
        <v>2168</v>
      </c>
      <c r="F431" s="664">
        <f t="shared" si="237"/>
        <v>0</v>
      </c>
      <c r="G431" s="663">
        <f t="shared" si="237"/>
        <v>0</v>
      </c>
      <c r="H431" s="662">
        <f t="shared" si="237"/>
        <v>6924</v>
      </c>
      <c r="I431" s="664">
        <f t="shared" si="237"/>
        <v>0</v>
      </c>
      <c r="J431" s="664">
        <f t="shared" si="237"/>
        <v>0</v>
      </c>
      <c r="K431" s="663">
        <f t="shared" si="237"/>
        <v>0</v>
      </c>
      <c r="L431" s="662">
        <f t="shared" si="237"/>
        <v>0</v>
      </c>
      <c r="M431" s="662">
        <f t="shared" si="237"/>
        <v>6924</v>
      </c>
      <c r="N431" s="662">
        <f t="shared" si="237"/>
        <v>0</v>
      </c>
      <c r="O431" s="662">
        <f t="shared" si="237"/>
        <v>6924</v>
      </c>
    </row>
    <row r="432" spans="1:15" s="725" customFormat="1" ht="47.25" x14ac:dyDescent="0.25">
      <c r="A432" s="665"/>
      <c r="B432" s="777" t="s">
        <v>1141</v>
      </c>
      <c r="C432" s="664">
        <f t="shared" ref="C432:O434" si="238">C348</f>
        <v>0</v>
      </c>
      <c r="D432" s="664">
        <f t="shared" si="238"/>
        <v>0</v>
      </c>
      <c r="E432" s="664">
        <f t="shared" si="238"/>
        <v>713</v>
      </c>
      <c r="F432" s="664">
        <f t="shared" si="238"/>
        <v>0</v>
      </c>
      <c r="G432" s="663">
        <f t="shared" si="238"/>
        <v>0</v>
      </c>
      <c r="H432" s="662">
        <f t="shared" si="238"/>
        <v>713</v>
      </c>
      <c r="I432" s="664">
        <f t="shared" si="238"/>
        <v>0</v>
      </c>
      <c r="J432" s="664">
        <f t="shared" si="238"/>
        <v>0</v>
      </c>
      <c r="K432" s="663">
        <f t="shared" si="238"/>
        <v>0</v>
      </c>
      <c r="L432" s="662">
        <f t="shared" si="238"/>
        <v>0</v>
      </c>
      <c r="M432" s="662">
        <f t="shared" si="238"/>
        <v>713</v>
      </c>
      <c r="N432" s="662">
        <f t="shared" si="238"/>
        <v>0</v>
      </c>
      <c r="O432" s="662">
        <f t="shared" si="238"/>
        <v>713</v>
      </c>
    </row>
    <row r="433" spans="1:15" s="725" customFormat="1" ht="31.5" x14ac:dyDescent="0.25">
      <c r="A433" s="665"/>
      <c r="B433" s="621" t="s">
        <v>1142</v>
      </c>
      <c r="C433" s="664">
        <f t="shared" si="238"/>
        <v>0</v>
      </c>
      <c r="D433" s="664">
        <f t="shared" si="238"/>
        <v>0</v>
      </c>
      <c r="E433" s="664">
        <f t="shared" si="238"/>
        <v>20000</v>
      </c>
      <c r="F433" s="664">
        <f t="shared" si="238"/>
        <v>0</v>
      </c>
      <c r="G433" s="663">
        <f t="shared" si="238"/>
        <v>0</v>
      </c>
      <c r="H433" s="662">
        <f t="shared" si="238"/>
        <v>20000</v>
      </c>
      <c r="I433" s="664">
        <f t="shared" si="238"/>
        <v>0</v>
      </c>
      <c r="J433" s="664">
        <f t="shared" si="238"/>
        <v>0</v>
      </c>
      <c r="K433" s="663">
        <f t="shared" si="238"/>
        <v>0</v>
      </c>
      <c r="L433" s="662">
        <f t="shared" si="238"/>
        <v>0</v>
      </c>
      <c r="M433" s="662">
        <f t="shared" si="238"/>
        <v>20000</v>
      </c>
      <c r="N433" s="662">
        <f t="shared" si="238"/>
        <v>0</v>
      </c>
      <c r="O433" s="662">
        <f t="shared" si="238"/>
        <v>20000</v>
      </c>
    </row>
    <row r="434" spans="1:15" s="685" customFormat="1" ht="47.25" x14ac:dyDescent="0.25">
      <c r="A434" s="665"/>
      <c r="B434" s="621" t="s">
        <v>1143</v>
      </c>
      <c r="C434" s="664">
        <f t="shared" si="238"/>
        <v>5680</v>
      </c>
      <c r="D434" s="664">
        <f t="shared" si="238"/>
        <v>1534</v>
      </c>
      <c r="E434" s="664">
        <f t="shared" si="238"/>
        <v>0</v>
      </c>
      <c r="F434" s="664">
        <f t="shared" si="238"/>
        <v>0</v>
      </c>
      <c r="G434" s="663">
        <f t="shared" si="238"/>
        <v>0</v>
      </c>
      <c r="H434" s="662">
        <f t="shared" si="238"/>
        <v>7214</v>
      </c>
      <c r="I434" s="664">
        <f t="shared" si="238"/>
        <v>0</v>
      </c>
      <c r="J434" s="664">
        <f t="shared" si="238"/>
        <v>0</v>
      </c>
      <c r="K434" s="663">
        <f t="shared" si="238"/>
        <v>0</v>
      </c>
      <c r="L434" s="662">
        <f t="shared" si="238"/>
        <v>0</v>
      </c>
      <c r="M434" s="662">
        <f t="shared" si="238"/>
        <v>7214</v>
      </c>
      <c r="N434" s="662">
        <f t="shared" si="238"/>
        <v>0</v>
      </c>
      <c r="O434" s="662">
        <f t="shared" si="238"/>
        <v>7214</v>
      </c>
    </row>
    <row r="435" spans="1:15" s="725" customFormat="1" ht="31.5" x14ac:dyDescent="0.25">
      <c r="A435" s="665"/>
      <c r="B435" s="777" t="s">
        <v>1144</v>
      </c>
      <c r="C435" s="664">
        <f t="shared" ref="C435:O435" si="239">SUM(C410)</f>
        <v>19949</v>
      </c>
      <c r="D435" s="664">
        <f t="shared" si="239"/>
        <v>5386</v>
      </c>
      <c r="E435" s="664">
        <f t="shared" si="239"/>
        <v>0</v>
      </c>
      <c r="F435" s="664">
        <f t="shared" si="239"/>
        <v>0</v>
      </c>
      <c r="G435" s="663">
        <f t="shared" si="239"/>
        <v>0</v>
      </c>
      <c r="H435" s="662">
        <f t="shared" si="239"/>
        <v>25335</v>
      </c>
      <c r="I435" s="664">
        <f t="shared" si="239"/>
        <v>0</v>
      </c>
      <c r="J435" s="664">
        <f t="shared" si="239"/>
        <v>0</v>
      </c>
      <c r="K435" s="663">
        <f t="shared" si="239"/>
        <v>0</v>
      </c>
      <c r="L435" s="662">
        <f t="shared" si="239"/>
        <v>0</v>
      </c>
      <c r="M435" s="662">
        <f t="shared" si="239"/>
        <v>25335</v>
      </c>
      <c r="N435" s="662">
        <f t="shared" si="239"/>
        <v>0</v>
      </c>
      <c r="O435" s="662">
        <f t="shared" si="239"/>
        <v>25335</v>
      </c>
    </row>
    <row r="436" spans="1:15" s="725" customFormat="1" x14ac:dyDescent="0.25">
      <c r="A436" s="665"/>
      <c r="B436" s="666" t="s">
        <v>179</v>
      </c>
      <c r="C436" s="664"/>
      <c r="D436" s="664"/>
      <c r="E436" s="664"/>
      <c r="F436" s="664"/>
      <c r="G436" s="762"/>
      <c r="H436" s="662"/>
      <c r="I436" s="664"/>
      <c r="J436" s="664"/>
      <c r="K436" s="663"/>
      <c r="L436" s="662"/>
      <c r="M436" s="662"/>
      <c r="N436" s="662"/>
      <c r="O436" s="662"/>
    </row>
    <row r="437" spans="1:15" x14ac:dyDescent="0.25">
      <c r="A437" s="665"/>
      <c r="B437" s="777" t="s">
        <v>1110</v>
      </c>
      <c r="C437" s="664">
        <f t="shared" ref="C437:O437" si="240">C307+C319+C373</f>
        <v>1255</v>
      </c>
      <c r="D437" s="664">
        <f t="shared" si="240"/>
        <v>339</v>
      </c>
      <c r="E437" s="664">
        <f t="shared" si="240"/>
        <v>0</v>
      </c>
      <c r="F437" s="664">
        <f t="shared" si="240"/>
        <v>0</v>
      </c>
      <c r="G437" s="663">
        <f t="shared" si="240"/>
        <v>0</v>
      </c>
      <c r="H437" s="662">
        <f t="shared" si="240"/>
        <v>1594</v>
      </c>
      <c r="I437" s="664">
        <f t="shared" si="240"/>
        <v>0</v>
      </c>
      <c r="J437" s="664">
        <f t="shared" si="240"/>
        <v>0</v>
      </c>
      <c r="K437" s="663">
        <f t="shared" si="240"/>
        <v>0</v>
      </c>
      <c r="L437" s="662">
        <f t="shared" si="240"/>
        <v>0</v>
      </c>
      <c r="M437" s="662">
        <f t="shared" si="240"/>
        <v>1594</v>
      </c>
      <c r="N437" s="662">
        <f t="shared" si="240"/>
        <v>0</v>
      </c>
      <c r="O437" s="662">
        <f t="shared" si="240"/>
        <v>1594</v>
      </c>
    </row>
    <row r="438" spans="1:15" x14ac:dyDescent="0.25">
      <c r="A438" s="665"/>
      <c r="B438" s="777" t="s">
        <v>1111</v>
      </c>
      <c r="C438" s="664">
        <f t="shared" ref="C438:O438" si="241">C14+C26+C41+C53+C65+C77+C89+C101+C113+C124+C135+C147+C159+C171+C184+C196+C207+C218+C229+C241+C257+C270+C284+C299+C308+C320+C335+C352+C363+C374+C390</f>
        <v>25972</v>
      </c>
      <c r="D438" s="664">
        <f t="shared" si="241"/>
        <v>8970</v>
      </c>
      <c r="E438" s="664">
        <f t="shared" si="241"/>
        <v>0</v>
      </c>
      <c r="F438" s="664">
        <f t="shared" si="241"/>
        <v>0</v>
      </c>
      <c r="G438" s="663">
        <f t="shared" si="241"/>
        <v>0</v>
      </c>
      <c r="H438" s="662">
        <f t="shared" si="241"/>
        <v>34942</v>
      </c>
      <c r="I438" s="664">
        <f t="shared" si="241"/>
        <v>0</v>
      </c>
      <c r="J438" s="664">
        <f t="shared" si="241"/>
        <v>0</v>
      </c>
      <c r="K438" s="663">
        <f t="shared" si="241"/>
        <v>0</v>
      </c>
      <c r="L438" s="662">
        <f t="shared" si="241"/>
        <v>0</v>
      </c>
      <c r="M438" s="662">
        <f t="shared" si="241"/>
        <v>34942</v>
      </c>
      <c r="N438" s="662">
        <f t="shared" si="241"/>
        <v>0</v>
      </c>
      <c r="O438" s="662">
        <f t="shared" si="241"/>
        <v>34942</v>
      </c>
    </row>
    <row r="439" spans="1:15" ht="31.5" x14ac:dyDescent="0.25">
      <c r="A439" s="665"/>
      <c r="B439" s="777" t="s">
        <v>941</v>
      </c>
      <c r="C439" s="664">
        <f t="shared" ref="C439:O439" si="242">C309+C375</f>
        <v>240</v>
      </c>
      <c r="D439" s="664">
        <f t="shared" si="242"/>
        <v>65</v>
      </c>
      <c r="E439" s="664">
        <f t="shared" si="242"/>
        <v>0</v>
      </c>
      <c r="F439" s="664">
        <f t="shared" si="242"/>
        <v>0</v>
      </c>
      <c r="G439" s="663">
        <f t="shared" si="242"/>
        <v>0</v>
      </c>
      <c r="H439" s="662">
        <f t="shared" si="242"/>
        <v>305</v>
      </c>
      <c r="I439" s="664">
        <f t="shared" si="242"/>
        <v>0</v>
      </c>
      <c r="J439" s="664">
        <f t="shared" si="242"/>
        <v>0</v>
      </c>
      <c r="K439" s="663">
        <f t="shared" si="242"/>
        <v>0</v>
      </c>
      <c r="L439" s="662">
        <f t="shared" si="242"/>
        <v>0</v>
      </c>
      <c r="M439" s="662">
        <f t="shared" si="242"/>
        <v>305</v>
      </c>
      <c r="N439" s="662">
        <f t="shared" si="242"/>
        <v>0</v>
      </c>
      <c r="O439" s="662">
        <f t="shared" si="242"/>
        <v>305</v>
      </c>
    </row>
    <row r="440" spans="1:15" x14ac:dyDescent="0.25">
      <c r="A440" s="665"/>
      <c r="B440" s="777" t="s">
        <v>1175</v>
      </c>
      <c r="C440" s="664">
        <f t="shared" ref="C440:O440" si="243">C230+C336+C310+C392+C393+C394+C395+C396</f>
        <v>0</v>
      </c>
      <c r="D440" s="664">
        <f t="shared" si="243"/>
        <v>0</v>
      </c>
      <c r="E440" s="664">
        <f t="shared" si="243"/>
        <v>608</v>
      </c>
      <c r="F440" s="664">
        <f t="shared" si="243"/>
        <v>0</v>
      </c>
      <c r="G440" s="663">
        <f t="shared" si="243"/>
        <v>0</v>
      </c>
      <c r="H440" s="662">
        <f t="shared" si="243"/>
        <v>608</v>
      </c>
      <c r="I440" s="664">
        <f t="shared" si="243"/>
        <v>0</v>
      </c>
      <c r="J440" s="664">
        <f t="shared" si="243"/>
        <v>0</v>
      </c>
      <c r="K440" s="663">
        <f t="shared" si="243"/>
        <v>0</v>
      </c>
      <c r="L440" s="662">
        <f t="shared" si="243"/>
        <v>0</v>
      </c>
      <c r="M440" s="662">
        <f t="shared" si="243"/>
        <v>608</v>
      </c>
      <c r="N440" s="662">
        <f t="shared" si="243"/>
        <v>0</v>
      </c>
      <c r="O440" s="662">
        <f t="shared" si="243"/>
        <v>608</v>
      </c>
    </row>
    <row r="441" spans="1:15" x14ac:dyDescent="0.25">
      <c r="A441" s="665"/>
      <c r="B441" s="777" t="s">
        <v>943</v>
      </c>
      <c r="C441" s="664">
        <f t="shared" ref="C441:O441" si="244">C27+C391</f>
        <v>0</v>
      </c>
      <c r="D441" s="664">
        <f t="shared" si="244"/>
        <v>0</v>
      </c>
      <c r="E441" s="664">
        <f t="shared" si="244"/>
        <v>94</v>
      </c>
      <c r="F441" s="664">
        <f t="shared" si="244"/>
        <v>0</v>
      </c>
      <c r="G441" s="663">
        <f t="shared" si="244"/>
        <v>0</v>
      </c>
      <c r="H441" s="662">
        <f t="shared" si="244"/>
        <v>94</v>
      </c>
      <c r="I441" s="664">
        <f t="shared" si="244"/>
        <v>0</v>
      </c>
      <c r="J441" s="664">
        <f t="shared" si="244"/>
        <v>0</v>
      </c>
      <c r="K441" s="663">
        <f t="shared" si="244"/>
        <v>0</v>
      </c>
      <c r="L441" s="662">
        <f t="shared" si="244"/>
        <v>0</v>
      </c>
      <c r="M441" s="662">
        <f t="shared" si="244"/>
        <v>94</v>
      </c>
      <c r="N441" s="662">
        <f t="shared" si="244"/>
        <v>0</v>
      </c>
      <c r="O441" s="662">
        <f t="shared" si="244"/>
        <v>94</v>
      </c>
    </row>
    <row r="442" spans="1:15" s="685" customFormat="1" x14ac:dyDescent="0.25">
      <c r="A442" s="665"/>
      <c r="B442" s="777" t="s">
        <v>1146</v>
      </c>
      <c r="C442" s="664">
        <f t="shared" ref="C442:O442" si="245">C376</f>
        <v>0</v>
      </c>
      <c r="D442" s="664">
        <f t="shared" si="245"/>
        <v>0</v>
      </c>
      <c r="E442" s="664">
        <f t="shared" si="245"/>
        <v>482</v>
      </c>
      <c r="F442" s="664">
        <f t="shared" si="245"/>
        <v>0</v>
      </c>
      <c r="G442" s="663">
        <f t="shared" si="245"/>
        <v>0</v>
      </c>
      <c r="H442" s="662">
        <f t="shared" si="245"/>
        <v>482</v>
      </c>
      <c r="I442" s="664">
        <f t="shared" si="245"/>
        <v>0</v>
      </c>
      <c r="J442" s="664">
        <f t="shared" si="245"/>
        <v>0</v>
      </c>
      <c r="K442" s="663">
        <f t="shared" si="245"/>
        <v>0</v>
      </c>
      <c r="L442" s="662">
        <f t="shared" si="245"/>
        <v>0</v>
      </c>
      <c r="M442" s="662">
        <f t="shared" si="245"/>
        <v>482</v>
      </c>
      <c r="N442" s="662">
        <f t="shared" si="245"/>
        <v>0</v>
      </c>
      <c r="O442" s="662">
        <f t="shared" si="245"/>
        <v>482</v>
      </c>
    </row>
    <row r="443" spans="1:15" s="685" customFormat="1" x14ac:dyDescent="0.25">
      <c r="A443" s="665"/>
      <c r="B443" s="777" t="s">
        <v>1147</v>
      </c>
      <c r="C443" s="664">
        <f t="shared" ref="C443:O443" si="246">C397</f>
        <v>0</v>
      </c>
      <c r="D443" s="664">
        <f t="shared" si="246"/>
        <v>0</v>
      </c>
      <c r="E443" s="664">
        <f t="shared" si="246"/>
        <v>800</v>
      </c>
      <c r="F443" s="664">
        <f t="shared" si="246"/>
        <v>0</v>
      </c>
      <c r="G443" s="663">
        <f t="shared" si="246"/>
        <v>0</v>
      </c>
      <c r="H443" s="662">
        <f t="shared" si="246"/>
        <v>800</v>
      </c>
      <c r="I443" s="664">
        <f t="shared" si="246"/>
        <v>0</v>
      </c>
      <c r="J443" s="664">
        <f t="shared" si="246"/>
        <v>0</v>
      </c>
      <c r="K443" s="663">
        <f t="shared" si="246"/>
        <v>0</v>
      </c>
      <c r="L443" s="662">
        <f t="shared" si="246"/>
        <v>0</v>
      </c>
      <c r="M443" s="662">
        <f t="shared" si="246"/>
        <v>800</v>
      </c>
      <c r="N443" s="662">
        <f t="shared" si="246"/>
        <v>0</v>
      </c>
      <c r="O443" s="662">
        <f t="shared" si="246"/>
        <v>800</v>
      </c>
    </row>
    <row r="444" spans="1:15" s="685" customFormat="1" x14ac:dyDescent="0.25">
      <c r="A444" s="665"/>
      <c r="B444" s="777" t="s">
        <v>1148</v>
      </c>
      <c r="C444" s="664">
        <f t="shared" ref="C444:O444" si="247">C377</f>
        <v>0</v>
      </c>
      <c r="D444" s="664">
        <f t="shared" si="247"/>
        <v>0</v>
      </c>
      <c r="E444" s="664">
        <f t="shared" si="247"/>
        <v>244</v>
      </c>
      <c r="F444" s="664">
        <f t="shared" si="247"/>
        <v>0</v>
      </c>
      <c r="G444" s="663">
        <f t="shared" si="247"/>
        <v>0</v>
      </c>
      <c r="H444" s="662">
        <f t="shared" si="247"/>
        <v>244</v>
      </c>
      <c r="I444" s="664">
        <f t="shared" si="247"/>
        <v>0</v>
      </c>
      <c r="J444" s="664">
        <f t="shared" si="247"/>
        <v>0</v>
      </c>
      <c r="K444" s="663">
        <f t="shared" si="247"/>
        <v>0</v>
      </c>
      <c r="L444" s="662">
        <f t="shared" si="247"/>
        <v>0</v>
      </c>
      <c r="M444" s="662">
        <f t="shared" si="247"/>
        <v>244</v>
      </c>
      <c r="N444" s="662">
        <f t="shared" si="247"/>
        <v>0</v>
      </c>
      <c r="O444" s="662">
        <f t="shared" si="247"/>
        <v>244</v>
      </c>
    </row>
    <row r="445" spans="1:15" s="685" customFormat="1" ht="31.5" x14ac:dyDescent="0.25">
      <c r="A445" s="665"/>
      <c r="B445" s="777" t="s">
        <v>1156</v>
      </c>
      <c r="C445" s="664">
        <f t="shared" ref="C445:O445" si="248">C311+C321+C364+C378+C353</f>
        <v>0</v>
      </c>
      <c r="D445" s="664">
        <f t="shared" si="248"/>
        <v>0</v>
      </c>
      <c r="E445" s="664">
        <f t="shared" si="248"/>
        <v>-3273</v>
      </c>
      <c r="F445" s="664">
        <f t="shared" si="248"/>
        <v>0</v>
      </c>
      <c r="G445" s="663">
        <f t="shared" si="248"/>
        <v>1981</v>
      </c>
      <c r="H445" s="662">
        <f t="shared" si="248"/>
        <v>-1292</v>
      </c>
      <c r="I445" s="664">
        <f t="shared" si="248"/>
        <v>1292</v>
      </c>
      <c r="J445" s="664">
        <f t="shared" si="248"/>
        <v>0</v>
      </c>
      <c r="K445" s="663">
        <f t="shared" si="248"/>
        <v>0</v>
      </c>
      <c r="L445" s="662">
        <f t="shared" si="248"/>
        <v>1292</v>
      </c>
      <c r="M445" s="662">
        <f t="shared" si="248"/>
        <v>0</v>
      </c>
      <c r="N445" s="662">
        <f t="shared" si="248"/>
        <v>0</v>
      </c>
      <c r="O445" s="662">
        <f t="shared" si="248"/>
        <v>0</v>
      </c>
    </row>
    <row r="446" spans="1:15" s="685" customFormat="1" ht="47.25" x14ac:dyDescent="0.25">
      <c r="A446" s="665"/>
      <c r="B446" s="777" t="s">
        <v>1160</v>
      </c>
      <c r="C446" s="664">
        <f t="shared" ref="C446:O446" si="249">C322+C354</f>
        <v>0</v>
      </c>
      <c r="D446" s="664">
        <f t="shared" si="249"/>
        <v>0</v>
      </c>
      <c r="E446" s="664">
        <f t="shared" si="249"/>
        <v>0</v>
      </c>
      <c r="F446" s="664">
        <f t="shared" si="249"/>
        <v>0</v>
      </c>
      <c r="G446" s="663">
        <f t="shared" si="249"/>
        <v>0</v>
      </c>
      <c r="H446" s="662">
        <f t="shared" si="249"/>
        <v>0</v>
      </c>
      <c r="I446" s="664">
        <f t="shared" si="249"/>
        <v>0</v>
      </c>
      <c r="J446" s="664">
        <f t="shared" si="249"/>
        <v>0</v>
      </c>
      <c r="K446" s="663">
        <f t="shared" si="249"/>
        <v>0</v>
      </c>
      <c r="L446" s="662">
        <f t="shared" si="249"/>
        <v>0</v>
      </c>
      <c r="M446" s="662">
        <f t="shared" si="249"/>
        <v>0</v>
      </c>
      <c r="N446" s="662">
        <f t="shared" si="249"/>
        <v>0</v>
      </c>
      <c r="O446" s="662">
        <f t="shared" si="249"/>
        <v>0</v>
      </c>
    </row>
    <row r="447" spans="1:15" s="685" customFormat="1" ht="31.5" x14ac:dyDescent="0.25">
      <c r="A447" s="665"/>
      <c r="B447" s="777" t="s">
        <v>1157</v>
      </c>
      <c r="C447" s="664">
        <f t="shared" ref="C447:O447" si="250">C312+C355+C365+C379</f>
        <v>2631</v>
      </c>
      <c r="D447" s="664">
        <f t="shared" si="250"/>
        <v>711</v>
      </c>
      <c r="E447" s="664">
        <f t="shared" si="250"/>
        <v>13229</v>
      </c>
      <c r="F447" s="664">
        <f t="shared" si="250"/>
        <v>0</v>
      </c>
      <c r="G447" s="663">
        <f t="shared" si="250"/>
        <v>0</v>
      </c>
      <c r="H447" s="662">
        <f t="shared" si="250"/>
        <v>16571</v>
      </c>
      <c r="I447" s="664">
        <f t="shared" si="250"/>
        <v>0</v>
      </c>
      <c r="J447" s="664">
        <f t="shared" si="250"/>
        <v>0</v>
      </c>
      <c r="K447" s="663">
        <f t="shared" si="250"/>
        <v>0</v>
      </c>
      <c r="L447" s="662">
        <f t="shared" si="250"/>
        <v>0</v>
      </c>
      <c r="M447" s="662">
        <f t="shared" si="250"/>
        <v>16571</v>
      </c>
      <c r="N447" s="662">
        <f t="shared" si="250"/>
        <v>0</v>
      </c>
      <c r="O447" s="662">
        <f t="shared" si="250"/>
        <v>16571</v>
      </c>
    </row>
    <row r="448" spans="1:15" ht="31.5" x14ac:dyDescent="0.25">
      <c r="A448" s="665"/>
      <c r="B448" s="777" t="s">
        <v>1149</v>
      </c>
      <c r="C448" s="664">
        <f t="shared" ref="C448:O448" si="251">C366</f>
        <v>0</v>
      </c>
      <c r="D448" s="664">
        <f t="shared" si="251"/>
        <v>0</v>
      </c>
      <c r="E448" s="664">
        <f t="shared" si="251"/>
        <v>5000</v>
      </c>
      <c r="F448" s="664">
        <f t="shared" si="251"/>
        <v>0</v>
      </c>
      <c r="G448" s="663">
        <f t="shared" si="251"/>
        <v>0</v>
      </c>
      <c r="H448" s="662">
        <f t="shared" si="251"/>
        <v>5000</v>
      </c>
      <c r="I448" s="664">
        <f t="shared" si="251"/>
        <v>0</v>
      </c>
      <c r="J448" s="664">
        <f t="shared" si="251"/>
        <v>0</v>
      </c>
      <c r="K448" s="663">
        <f t="shared" si="251"/>
        <v>0</v>
      </c>
      <c r="L448" s="662">
        <f t="shared" si="251"/>
        <v>0</v>
      </c>
      <c r="M448" s="662">
        <f t="shared" si="251"/>
        <v>5000</v>
      </c>
      <c r="N448" s="662">
        <f t="shared" si="251"/>
        <v>0</v>
      </c>
      <c r="O448" s="662">
        <f t="shared" si="251"/>
        <v>5000</v>
      </c>
    </row>
    <row r="449" spans="1:15" ht="31.5" x14ac:dyDescent="0.25">
      <c r="A449" s="665"/>
      <c r="B449" s="621" t="s">
        <v>1144</v>
      </c>
      <c r="C449" s="664">
        <f t="shared" ref="C449:O449" si="252">SUM(C413)</f>
        <v>1859</v>
      </c>
      <c r="D449" s="664">
        <f t="shared" si="252"/>
        <v>641</v>
      </c>
      <c r="E449" s="664">
        <f t="shared" si="252"/>
        <v>0</v>
      </c>
      <c r="F449" s="664">
        <f t="shared" si="252"/>
        <v>0</v>
      </c>
      <c r="G449" s="663">
        <f t="shared" si="252"/>
        <v>0</v>
      </c>
      <c r="H449" s="662">
        <f t="shared" si="252"/>
        <v>2500</v>
      </c>
      <c r="I449" s="664">
        <f t="shared" si="252"/>
        <v>0</v>
      </c>
      <c r="J449" s="664">
        <f t="shared" si="252"/>
        <v>0</v>
      </c>
      <c r="K449" s="663">
        <f t="shared" si="252"/>
        <v>0</v>
      </c>
      <c r="L449" s="662">
        <f t="shared" si="252"/>
        <v>0</v>
      </c>
      <c r="M449" s="662">
        <f t="shared" si="252"/>
        <v>2500</v>
      </c>
      <c r="N449" s="662">
        <f t="shared" si="252"/>
        <v>0</v>
      </c>
      <c r="O449" s="662">
        <f t="shared" si="252"/>
        <v>2500</v>
      </c>
    </row>
    <row r="450" spans="1:15" ht="31.5" x14ac:dyDescent="0.25">
      <c r="A450" s="665"/>
      <c r="B450" s="621" t="s">
        <v>1150</v>
      </c>
      <c r="C450" s="664">
        <f t="shared" ref="C450:O450" si="253">SUM(C414)</f>
        <v>0</v>
      </c>
      <c r="D450" s="664">
        <f t="shared" si="253"/>
        <v>0</v>
      </c>
      <c r="E450" s="664">
        <f t="shared" si="253"/>
        <v>752</v>
      </c>
      <c r="F450" s="664">
        <f t="shared" si="253"/>
        <v>0</v>
      </c>
      <c r="G450" s="663">
        <f t="shared" si="253"/>
        <v>0</v>
      </c>
      <c r="H450" s="662">
        <f t="shared" si="253"/>
        <v>752</v>
      </c>
      <c r="I450" s="664">
        <f t="shared" si="253"/>
        <v>0</v>
      </c>
      <c r="J450" s="664">
        <f t="shared" si="253"/>
        <v>0</v>
      </c>
      <c r="K450" s="663">
        <f t="shared" si="253"/>
        <v>0</v>
      </c>
      <c r="L450" s="662">
        <f t="shared" si="253"/>
        <v>0</v>
      </c>
      <c r="M450" s="662">
        <f t="shared" si="253"/>
        <v>752</v>
      </c>
      <c r="N450" s="662">
        <f t="shared" si="253"/>
        <v>0</v>
      </c>
      <c r="O450" s="662">
        <f t="shared" si="253"/>
        <v>752</v>
      </c>
    </row>
    <row r="451" spans="1:15" x14ac:dyDescent="0.25">
      <c r="A451" s="665"/>
      <c r="B451" s="666" t="s">
        <v>538</v>
      </c>
      <c r="C451" s="664"/>
      <c r="D451" s="664"/>
      <c r="E451" s="664"/>
      <c r="F451" s="664"/>
      <c r="G451" s="663"/>
      <c r="H451" s="662"/>
      <c r="I451" s="664"/>
      <c r="J451" s="664"/>
      <c r="K451" s="663"/>
      <c r="L451" s="662"/>
      <c r="M451" s="662"/>
      <c r="N451" s="662"/>
      <c r="O451" s="662"/>
    </row>
    <row r="452" spans="1:15" ht="31.5" x14ac:dyDescent="0.25">
      <c r="A452" s="665"/>
      <c r="B452" s="621" t="s">
        <v>1144</v>
      </c>
      <c r="C452" s="664">
        <f t="shared" ref="C452:O453" si="254">SUM(C416)</f>
        <v>14327</v>
      </c>
      <c r="D452" s="664">
        <f t="shared" si="254"/>
        <v>3869</v>
      </c>
      <c r="E452" s="664">
        <f t="shared" si="254"/>
        <v>0</v>
      </c>
      <c r="F452" s="664">
        <f t="shared" si="254"/>
        <v>0</v>
      </c>
      <c r="G452" s="663">
        <f t="shared" si="254"/>
        <v>0</v>
      </c>
      <c r="H452" s="662">
        <f t="shared" si="254"/>
        <v>18196</v>
      </c>
      <c r="I452" s="664">
        <f t="shared" si="254"/>
        <v>0</v>
      </c>
      <c r="J452" s="664">
        <f t="shared" si="254"/>
        <v>0</v>
      </c>
      <c r="K452" s="663">
        <f t="shared" si="254"/>
        <v>0</v>
      </c>
      <c r="L452" s="662">
        <f t="shared" si="254"/>
        <v>0</v>
      </c>
      <c r="M452" s="662">
        <f t="shared" si="254"/>
        <v>18196</v>
      </c>
      <c r="N452" s="662">
        <f t="shared" si="254"/>
        <v>0</v>
      </c>
      <c r="O452" s="662">
        <f t="shared" si="254"/>
        <v>18196</v>
      </c>
    </row>
    <row r="453" spans="1:15" ht="32.25" thickBot="1" x14ac:dyDescent="0.3">
      <c r="A453" s="665"/>
      <c r="B453" s="777" t="s">
        <v>1156</v>
      </c>
      <c r="C453" s="664">
        <f t="shared" si="254"/>
        <v>0</v>
      </c>
      <c r="D453" s="664">
        <f t="shared" si="254"/>
        <v>0</v>
      </c>
      <c r="E453" s="664">
        <f t="shared" si="254"/>
        <v>0</v>
      </c>
      <c r="F453" s="664">
        <f t="shared" si="254"/>
        <v>0</v>
      </c>
      <c r="G453" s="663">
        <f t="shared" si="254"/>
        <v>0</v>
      </c>
      <c r="H453" s="924">
        <f t="shared" si="254"/>
        <v>0</v>
      </c>
      <c r="I453" s="664">
        <f t="shared" si="254"/>
        <v>-580</v>
      </c>
      <c r="J453" s="664">
        <f t="shared" si="254"/>
        <v>580</v>
      </c>
      <c r="K453" s="663">
        <f t="shared" si="254"/>
        <v>0</v>
      </c>
      <c r="L453" s="924">
        <f t="shared" si="254"/>
        <v>0</v>
      </c>
      <c r="M453" s="924">
        <f t="shared" si="254"/>
        <v>0</v>
      </c>
      <c r="N453" s="924">
        <f t="shared" si="254"/>
        <v>0</v>
      </c>
      <c r="O453" s="924">
        <f t="shared" si="254"/>
        <v>0</v>
      </c>
    </row>
    <row r="454" spans="1:15" ht="17.25" thickTop="1" thickBot="1" x14ac:dyDescent="0.3">
      <c r="A454" s="660"/>
      <c r="B454" s="659" t="s">
        <v>728</v>
      </c>
      <c r="C454" s="661">
        <f t="shared" ref="C454:O454" si="255">SUM(C423:C453)</f>
        <v>6214486</v>
      </c>
      <c r="D454" s="661">
        <f t="shared" si="255"/>
        <v>1744850</v>
      </c>
      <c r="E454" s="661">
        <f t="shared" si="255"/>
        <v>4594244</v>
      </c>
      <c r="F454" s="661">
        <f t="shared" si="255"/>
        <v>11682</v>
      </c>
      <c r="G454" s="661">
        <f t="shared" si="255"/>
        <v>1981</v>
      </c>
      <c r="H454" s="661">
        <f t="shared" si="255"/>
        <v>12567243</v>
      </c>
      <c r="I454" s="661">
        <f t="shared" si="255"/>
        <v>147864</v>
      </c>
      <c r="J454" s="661">
        <f t="shared" si="255"/>
        <v>32058</v>
      </c>
      <c r="K454" s="661">
        <f t="shared" si="255"/>
        <v>0</v>
      </c>
      <c r="L454" s="661">
        <f t="shared" si="255"/>
        <v>179922</v>
      </c>
      <c r="M454" s="661">
        <f t="shared" si="255"/>
        <v>12747165</v>
      </c>
      <c r="N454" s="661">
        <f t="shared" si="255"/>
        <v>0</v>
      </c>
      <c r="O454" s="661">
        <f t="shared" si="255"/>
        <v>12747165</v>
      </c>
    </row>
    <row r="455" spans="1:15" ht="17.25" thickTop="1" thickBot="1" x14ac:dyDescent="0.3">
      <c r="A455" s="660"/>
      <c r="B455" s="659" t="s">
        <v>735</v>
      </c>
      <c r="C455" s="658">
        <f t="shared" ref="C455:O455" si="256">SUM(C16+C29+C43+C55+C67+C79+C91+C103+C115+C126+C137+C149+C161+C173+C186+C198+C209+C220+C232+C243+C259+C272+C286+C301+C338+C357+C399+C419)</f>
        <v>4573030</v>
      </c>
      <c r="D455" s="658">
        <f t="shared" si="256"/>
        <v>1294835</v>
      </c>
      <c r="E455" s="658">
        <f t="shared" si="256"/>
        <v>3666172</v>
      </c>
      <c r="F455" s="658">
        <f t="shared" si="256"/>
        <v>11682</v>
      </c>
      <c r="G455" s="658">
        <f t="shared" si="256"/>
        <v>0</v>
      </c>
      <c r="H455" s="658">
        <f t="shared" si="256"/>
        <v>9545719</v>
      </c>
      <c r="I455" s="658">
        <f t="shared" si="256"/>
        <v>67854</v>
      </c>
      <c r="J455" s="658">
        <f t="shared" si="256"/>
        <v>20312</v>
      </c>
      <c r="K455" s="658">
        <f t="shared" si="256"/>
        <v>0</v>
      </c>
      <c r="L455" s="658">
        <f t="shared" si="256"/>
        <v>88166</v>
      </c>
      <c r="M455" s="658">
        <f t="shared" si="256"/>
        <v>9633885</v>
      </c>
      <c r="N455" s="658">
        <f t="shared" si="256"/>
        <v>0</v>
      </c>
      <c r="O455" s="658">
        <f t="shared" si="256"/>
        <v>9633885</v>
      </c>
    </row>
    <row r="456" spans="1:15" ht="17.25" thickTop="1" thickBot="1" x14ac:dyDescent="0.3">
      <c r="A456" s="660"/>
      <c r="B456" s="659" t="s">
        <v>734</v>
      </c>
      <c r="C456" s="658">
        <f t="shared" ref="C456:O456" si="257">SUM(C17+C30+C44+C56+C68+C80+C92+C104+C116+C127+C138+C150+C162+C174+C187+C199+C210+C221+C233+C244+C260+C273+C287+C302+C314+C324+C339+C358+C368+C381+C400+C420)</f>
        <v>1134701</v>
      </c>
      <c r="D456" s="658">
        <f t="shared" si="257"/>
        <v>307572</v>
      </c>
      <c r="E456" s="658">
        <f t="shared" si="257"/>
        <v>788358</v>
      </c>
      <c r="F456" s="658">
        <f t="shared" si="257"/>
        <v>0</v>
      </c>
      <c r="G456" s="658">
        <f t="shared" si="257"/>
        <v>1981</v>
      </c>
      <c r="H456" s="658">
        <f t="shared" si="257"/>
        <v>2232612</v>
      </c>
      <c r="I456" s="658">
        <f t="shared" si="257"/>
        <v>50639</v>
      </c>
      <c r="J456" s="658">
        <f t="shared" si="257"/>
        <v>0</v>
      </c>
      <c r="K456" s="658">
        <f t="shared" si="257"/>
        <v>0</v>
      </c>
      <c r="L456" s="658">
        <f t="shared" si="257"/>
        <v>50639</v>
      </c>
      <c r="M456" s="658">
        <f t="shared" si="257"/>
        <v>2283251</v>
      </c>
      <c r="N456" s="658">
        <f t="shared" si="257"/>
        <v>0</v>
      </c>
      <c r="O456" s="658">
        <f t="shared" si="257"/>
        <v>2283251</v>
      </c>
    </row>
    <row r="457" spans="1:15" ht="33" thickTop="1" thickBot="1" x14ac:dyDescent="0.3">
      <c r="A457" s="660"/>
      <c r="B457" s="659" t="s">
        <v>812</v>
      </c>
      <c r="C457" s="658">
        <f t="shared" ref="C457:O457" si="258">SUM(C421)</f>
        <v>506755</v>
      </c>
      <c r="D457" s="658">
        <f t="shared" si="258"/>
        <v>142443</v>
      </c>
      <c r="E457" s="658">
        <f t="shared" si="258"/>
        <v>139714</v>
      </c>
      <c r="F457" s="658">
        <f t="shared" si="258"/>
        <v>0</v>
      </c>
      <c r="G457" s="658">
        <f t="shared" si="258"/>
        <v>0</v>
      </c>
      <c r="H457" s="658">
        <f t="shared" si="258"/>
        <v>788912</v>
      </c>
      <c r="I457" s="658">
        <f t="shared" si="258"/>
        <v>29371</v>
      </c>
      <c r="J457" s="658">
        <f t="shared" si="258"/>
        <v>11746</v>
      </c>
      <c r="K457" s="658">
        <f t="shared" si="258"/>
        <v>0</v>
      </c>
      <c r="L457" s="658">
        <f t="shared" si="258"/>
        <v>41117</v>
      </c>
      <c r="M457" s="658">
        <f t="shared" si="258"/>
        <v>830029</v>
      </c>
      <c r="N457" s="658">
        <f t="shared" si="258"/>
        <v>0</v>
      </c>
      <c r="O457" s="658">
        <f t="shared" si="258"/>
        <v>830029</v>
      </c>
    </row>
    <row r="458" spans="1:15" ht="16.5" thickTop="1" x14ac:dyDescent="0.25"/>
  </sheetData>
  <mergeCells count="1">
    <mergeCell ref="A1:O1"/>
  </mergeCells>
  <pageMargins left="0" right="0" top="0.55118110236220474" bottom="0.74803149606299213" header="0.31496062992125984" footer="0.31496062992125984"/>
  <pageSetup paperSize="9" scale="68" orientation="landscape" r:id="rId1"/>
  <headerFooter>
    <oddHeader>&amp;R&amp;"Times New Roman CE,Félkövér" &amp;11 7. melléklet a 28/2016.(VI.24.) önkormányzati rendelethez&amp;12
&amp;"Times New Roman CE,Dőlt"&amp;10  8. melléklet
 a 3/2016.(II.12.) önkormányzati rendelethez</oddHeader>
    <oddFooter>&amp;C&amp;P.oldal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opLeftCell="A58" zoomScaleNormal="100" workbookViewId="0">
      <selection activeCell="G83" sqref="G83"/>
    </sheetView>
  </sheetViews>
  <sheetFormatPr defaultRowHeight="15" x14ac:dyDescent="0.25"/>
  <cols>
    <col min="1" max="1" width="40.25" style="835" customWidth="1"/>
    <col min="2" max="3" width="17.375" style="835" customWidth="1"/>
    <col min="4" max="16384" width="9" style="835"/>
  </cols>
  <sheetData>
    <row r="1" spans="1:3" ht="40.5" customHeight="1" x14ac:dyDescent="0.25">
      <c r="A1" s="925"/>
      <c r="B1" s="925"/>
      <c r="C1" s="925"/>
    </row>
    <row r="2" spans="1:3" ht="36.75" customHeight="1" x14ac:dyDescent="0.25">
      <c r="A2" s="970" t="s">
        <v>940</v>
      </c>
      <c r="B2" s="971"/>
      <c r="C2" s="971"/>
    </row>
    <row r="3" spans="1:3" ht="15.75" thickBot="1" x14ac:dyDescent="0.3">
      <c r="A3" s="925"/>
      <c r="B3" s="925"/>
      <c r="C3" s="925"/>
    </row>
    <row r="4" spans="1:3" ht="33" thickTop="1" thickBot="1" x14ac:dyDescent="0.3">
      <c r="A4" s="807" t="s">
        <v>789</v>
      </c>
      <c r="B4" s="834" t="s">
        <v>24</v>
      </c>
      <c r="C4" s="834" t="s">
        <v>653</v>
      </c>
    </row>
    <row r="5" spans="1:3" ht="16.5" thickTop="1" x14ac:dyDescent="0.25">
      <c r="A5" s="926" t="s">
        <v>775</v>
      </c>
      <c r="B5" s="836">
        <f>SUM(B6)</f>
        <v>4200</v>
      </c>
      <c r="C5" s="836">
        <f>SUM(C6)</f>
        <v>4200</v>
      </c>
    </row>
    <row r="6" spans="1:3" ht="15.75" x14ac:dyDescent="0.25">
      <c r="A6" s="812" t="s">
        <v>896</v>
      </c>
      <c r="B6" s="837">
        <v>4200</v>
      </c>
      <c r="C6" s="837">
        <v>4200</v>
      </c>
    </row>
    <row r="7" spans="1:3" ht="15.75" x14ac:dyDescent="0.25">
      <c r="A7" s="838" t="s">
        <v>1176</v>
      </c>
      <c r="B7" s="840">
        <f>SUM(B8)</f>
        <v>0</v>
      </c>
      <c r="C7" s="840">
        <f>SUM(C8)</f>
        <v>44</v>
      </c>
    </row>
    <row r="8" spans="1:3" ht="31.5" x14ac:dyDescent="0.25">
      <c r="A8" s="927" t="s">
        <v>1177</v>
      </c>
      <c r="B8" s="839"/>
      <c r="C8" s="839">
        <v>44</v>
      </c>
    </row>
    <row r="9" spans="1:3" ht="15.75" x14ac:dyDescent="0.25">
      <c r="A9" s="838" t="s">
        <v>772</v>
      </c>
      <c r="B9" s="839"/>
      <c r="C9" s="840">
        <f>SUM(C10)</f>
        <v>75</v>
      </c>
    </row>
    <row r="10" spans="1:3" ht="78.75" x14ac:dyDescent="0.25">
      <c r="A10" s="841" t="s">
        <v>897</v>
      </c>
      <c r="B10" s="842"/>
      <c r="C10" s="842">
        <v>75</v>
      </c>
    </row>
    <row r="11" spans="1:3" ht="15.75" x14ac:dyDescent="0.25">
      <c r="A11" s="838" t="s">
        <v>887</v>
      </c>
      <c r="B11" s="839"/>
      <c r="C11" s="840">
        <f>SUM(C12)</f>
        <v>75</v>
      </c>
    </row>
    <row r="12" spans="1:3" ht="78.75" x14ac:dyDescent="0.25">
      <c r="A12" s="841" t="s">
        <v>897</v>
      </c>
      <c r="B12" s="842"/>
      <c r="C12" s="842">
        <v>75</v>
      </c>
    </row>
    <row r="13" spans="1:3" ht="15.75" x14ac:dyDescent="0.25">
      <c r="A13" s="838" t="s">
        <v>770</v>
      </c>
      <c r="B13" s="839"/>
      <c r="C13" s="840">
        <f>SUM(C14)</f>
        <v>75</v>
      </c>
    </row>
    <row r="14" spans="1:3" ht="78.75" x14ac:dyDescent="0.25">
      <c r="A14" s="841" t="s">
        <v>897</v>
      </c>
      <c r="B14" s="842"/>
      <c r="C14" s="842">
        <v>75</v>
      </c>
    </row>
    <row r="15" spans="1:3" ht="15.75" x14ac:dyDescent="0.25">
      <c r="A15" s="838" t="s">
        <v>769</v>
      </c>
      <c r="B15" s="839"/>
      <c r="C15" s="840">
        <f>SUM(C16)</f>
        <v>75</v>
      </c>
    </row>
    <row r="16" spans="1:3" ht="78.75" x14ac:dyDescent="0.25">
      <c r="A16" s="841" t="s">
        <v>897</v>
      </c>
      <c r="B16" s="842"/>
      <c r="C16" s="842">
        <v>75</v>
      </c>
    </row>
    <row r="17" spans="1:3" ht="15.75" x14ac:dyDescent="0.25">
      <c r="A17" s="838" t="s">
        <v>768</v>
      </c>
      <c r="B17" s="839"/>
      <c r="C17" s="840">
        <f>SUM(C18)</f>
        <v>75</v>
      </c>
    </row>
    <row r="18" spans="1:3" ht="78.75" x14ac:dyDescent="0.25">
      <c r="A18" s="841" t="s">
        <v>897</v>
      </c>
      <c r="B18" s="842"/>
      <c r="C18" s="842">
        <v>75</v>
      </c>
    </row>
    <row r="19" spans="1:3" ht="15.75" x14ac:dyDescent="0.25">
      <c r="A19" s="838" t="s">
        <v>767</v>
      </c>
      <c r="B19" s="839"/>
      <c r="C19" s="840">
        <f>SUM(C20)</f>
        <v>75</v>
      </c>
    </row>
    <row r="20" spans="1:3" ht="78.75" x14ac:dyDescent="0.25">
      <c r="A20" s="841" t="s">
        <v>897</v>
      </c>
      <c r="B20" s="842"/>
      <c r="C20" s="842">
        <v>75</v>
      </c>
    </row>
    <row r="21" spans="1:3" ht="15.75" x14ac:dyDescent="0.25">
      <c r="A21" s="838" t="s">
        <v>765</v>
      </c>
      <c r="B21" s="839"/>
      <c r="C21" s="840">
        <f>SUM(C22)</f>
        <v>100</v>
      </c>
    </row>
    <row r="22" spans="1:3" ht="67.5" customHeight="1" x14ac:dyDescent="0.25">
      <c r="A22" s="927" t="s">
        <v>898</v>
      </c>
      <c r="B22" s="842"/>
      <c r="C22" s="842">
        <v>100</v>
      </c>
    </row>
    <row r="23" spans="1:3" ht="15.75" x14ac:dyDescent="0.25">
      <c r="A23" s="838" t="s">
        <v>889</v>
      </c>
      <c r="B23" s="839"/>
      <c r="C23" s="839"/>
    </row>
    <row r="24" spans="1:3" ht="31.5" x14ac:dyDescent="0.25">
      <c r="A24" s="843" t="s">
        <v>695</v>
      </c>
      <c r="B24" s="844"/>
      <c r="C24" s="844"/>
    </row>
    <row r="25" spans="1:3" ht="15.75" x14ac:dyDescent="0.25">
      <c r="A25" s="838" t="s">
        <v>763</v>
      </c>
      <c r="B25" s="839"/>
      <c r="C25" s="840">
        <f>SUM(C26)</f>
        <v>250</v>
      </c>
    </row>
    <row r="26" spans="1:3" ht="78.75" x14ac:dyDescent="0.25">
      <c r="A26" s="927" t="s">
        <v>899</v>
      </c>
      <c r="B26" s="842"/>
      <c r="C26" s="842">
        <v>250</v>
      </c>
    </row>
    <row r="27" spans="1:3" ht="15.75" x14ac:dyDescent="0.25">
      <c r="A27" s="838" t="s">
        <v>762</v>
      </c>
      <c r="B27" s="839"/>
      <c r="C27" s="839"/>
    </row>
    <row r="28" spans="1:3" ht="15.75" x14ac:dyDescent="0.25">
      <c r="A28" s="838" t="s">
        <v>761</v>
      </c>
      <c r="B28" s="839"/>
      <c r="C28" s="839"/>
    </row>
    <row r="29" spans="1:3" ht="15.75" x14ac:dyDescent="0.25">
      <c r="A29" s="838" t="s">
        <v>760</v>
      </c>
      <c r="B29" s="839"/>
      <c r="C29" s="839"/>
    </row>
    <row r="30" spans="1:3" ht="15.75" x14ac:dyDescent="0.25">
      <c r="A30" s="838" t="s">
        <v>809</v>
      </c>
      <c r="B30" s="839"/>
      <c r="C30" s="840">
        <f>SUM(C31)</f>
        <v>150</v>
      </c>
    </row>
    <row r="31" spans="1:3" ht="63" x14ac:dyDescent="0.25">
      <c r="A31" s="927" t="s">
        <v>900</v>
      </c>
      <c r="B31" s="842"/>
      <c r="C31" s="842">
        <v>150</v>
      </c>
    </row>
    <row r="32" spans="1:3" ht="15.75" x14ac:dyDescent="0.25">
      <c r="A32" s="838" t="s">
        <v>758</v>
      </c>
      <c r="B32" s="839"/>
      <c r="C32" s="839"/>
    </row>
    <row r="33" spans="1:3" ht="15.75" x14ac:dyDescent="0.25">
      <c r="A33" s="838" t="s">
        <v>810</v>
      </c>
      <c r="B33" s="839"/>
      <c r="C33" s="839"/>
    </row>
    <row r="34" spans="1:3" ht="15.75" x14ac:dyDescent="0.25">
      <c r="A34" s="838" t="s">
        <v>756</v>
      </c>
      <c r="B34" s="840">
        <f>SUM(B35)</f>
        <v>0</v>
      </c>
      <c r="C34" s="840">
        <f>SUM(C35)</f>
        <v>50</v>
      </c>
    </row>
    <row r="35" spans="1:3" ht="63" x14ac:dyDescent="0.25">
      <c r="A35" s="927" t="s">
        <v>1178</v>
      </c>
      <c r="B35" s="839"/>
      <c r="C35" s="842">
        <v>50</v>
      </c>
    </row>
    <row r="36" spans="1:3" ht="15.75" x14ac:dyDescent="0.25">
      <c r="A36" s="838" t="s">
        <v>755</v>
      </c>
      <c r="B36" s="839"/>
      <c r="C36" s="839"/>
    </row>
    <row r="37" spans="1:3" ht="15.75" x14ac:dyDescent="0.25">
      <c r="A37" s="838" t="s">
        <v>681</v>
      </c>
      <c r="B37" s="839"/>
      <c r="C37" s="839"/>
    </row>
    <row r="38" spans="1:3" ht="15.75" x14ac:dyDescent="0.25">
      <c r="A38" s="838" t="s">
        <v>901</v>
      </c>
      <c r="B38" s="839"/>
      <c r="C38" s="839"/>
    </row>
    <row r="39" spans="1:3" ht="15.75" x14ac:dyDescent="0.25">
      <c r="A39" s="845" t="s">
        <v>731</v>
      </c>
      <c r="B39" s="839"/>
      <c r="C39" s="839"/>
    </row>
    <row r="40" spans="1:3" ht="15.75" x14ac:dyDescent="0.25">
      <c r="A40" s="838" t="s">
        <v>891</v>
      </c>
      <c r="B40" s="839"/>
      <c r="C40" s="839"/>
    </row>
    <row r="41" spans="1:3" ht="15.75" x14ac:dyDescent="0.25">
      <c r="A41" s="838" t="s">
        <v>750</v>
      </c>
      <c r="B41" s="840">
        <f>SUM(B42:B47)</f>
        <v>13250</v>
      </c>
      <c r="C41" s="840">
        <f>SUM(C42:C47)</f>
        <v>13308</v>
      </c>
    </row>
    <row r="42" spans="1:3" ht="15.75" x14ac:dyDescent="0.25">
      <c r="A42" s="815" t="s">
        <v>902</v>
      </c>
      <c r="B42" s="839">
        <v>450</v>
      </c>
      <c r="C42" s="839">
        <v>450</v>
      </c>
    </row>
    <row r="43" spans="1:3" ht="15.75" x14ac:dyDescent="0.25">
      <c r="A43" s="815" t="s">
        <v>903</v>
      </c>
      <c r="B43" s="839">
        <v>1800</v>
      </c>
      <c r="C43" s="839">
        <v>1800</v>
      </c>
    </row>
    <row r="44" spans="1:3" ht="15.75" x14ac:dyDescent="0.25">
      <c r="A44" s="818" t="s">
        <v>904</v>
      </c>
      <c r="B44" s="839">
        <v>10000</v>
      </c>
      <c r="C44" s="839">
        <v>10000</v>
      </c>
    </row>
    <row r="45" spans="1:3" ht="15.75" x14ac:dyDescent="0.25">
      <c r="A45" s="818" t="s">
        <v>905</v>
      </c>
      <c r="B45" s="839">
        <v>500</v>
      </c>
      <c r="C45" s="839">
        <v>500</v>
      </c>
    </row>
    <row r="46" spans="1:3" ht="15.75" x14ac:dyDescent="0.25">
      <c r="A46" s="818" t="s">
        <v>906</v>
      </c>
      <c r="B46" s="839">
        <v>500</v>
      </c>
      <c r="C46" s="839">
        <v>500</v>
      </c>
    </row>
    <row r="47" spans="1:3" ht="63" x14ac:dyDescent="0.25">
      <c r="A47" s="927" t="s">
        <v>1179</v>
      </c>
      <c r="B47" s="839"/>
      <c r="C47" s="842">
        <v>58</v>
      </c>
    </row>
    <row r="48" spans="1:3" ht="15.75" x14ac:dyDescent="0.25">
      <c r="A48" s="838" t="s">
        <v>749</v>
      </c>
      <c r="B48" s="840">
        <f>SUM(B49:B49)</f>
        <v>300</v>
      </c>
      <c r="C48" s="840">
        <f>SUM(C49:C49)</f>
        <v>300</v>
      </c>
    </row>
    <row r="49" spans="1:3" ht="15.75" x14ac:dyDescent="0.25">
      <c r="A49" s="815" t="s">
        <v>907</v>
      </c>
      <c r="B49" s="839">
        <v>300</v>
      </c>
      <c r="C49" s="839">
        <v>300</v>
      </c>
    </row>
    <row r="50" spans="1:3" ht="15.75" x14ac:dyDescent="0.25">
      <c r="A50" s="838" t="s">
        <v>748</v>
      </c>
      <c r="B50" s="840">
        <f>SUM(B51:B56)</f>
        <v>1000</v>
      </c>
      <c r="C50" s="840">
        <f>SUM(C51:C56)</f>
        <v>1360</v>
      </c>
    </row>
    <row r="51" spans="1:3" ht="15.75" x14ac:dyDescent="0.25">
      <c r="A51" s="815" t="s">
        <v>908</v>
      </c>
      <c r="B51" s="839">
        <v>1000</v>
      </c>
      <c r="C51" s="839">
        <v>1000</v>
      </c>
    </row>
    <row r="52" spans="1:3" ht="94.5" x14ac:dyDescent="0.25">
      <c r="A52" s="841" t="s">
        <v>909</v>
      </c>
      <c r="B52" s="842"/>
      <c r="C52" s="842">
        <v>60</v>
      </c>
    </row>
    <row r="53" spans="1:3" ht="78.75" x14ac:dyDescent="0.25">
      <c r="A53" s="927" t="s">
        <v>910</v>
      </c>
      <c r="B53" s="842"/>
      <c r="C53" s="842">
        <v>150</v>
      </c>
    </row>
    <row r="54" spans="1:3" ht="63" x14ac:dyDescent="0.25">
      <c r="A54" s="927" t="s">
        <v>911</v>
      </c>
      <c r="B54" s="842"/>
      <c r="C54" s="842">
        <v>50</v>
      </c>
    </row>
    <row r="55" spans="1:3" ht="63" x14ac:dyDescent="0.25">
      <c r="A55" s="927" t="s">
        <v>912</v>
      </c>
      <c r="B55" s="842"/>
      <c r="C55" s="842">
        <v>50</v>
      </c>
    </row>
    <row r="56" spans="1:3" ht="63" x14ac:dyDescent="0.25">
      <c r="A56" s="927" t="s">
        <v>1180</v>
      </c>
      <c r="B56" s="842"/>
      <c r="C56" s="842">
        <v>50</v>
      </c>
    </row>
    <row r="57" spans="1:3" ht="15.75" x14ac:dyDescent="0.25">
      <c r="A57" s="838" t="s">
        <v>747</v>
      </c>
      <c r="B57" s="840">
        <f>SUM(B58:B64)</f>
        <v>66693</v>
      </c>
      <c r="C57" s="840">
        <f>SUM(C58:C64)</f>
        <v>87406</v>
      </c>
    </row>
    <row r="58" spans="1:3" ht="15.75" x14ac:dyDescent="0.25">
      <c r="A58" s="815" t="s">
        <v>913</v>
      </c>
      <c r="B58" s="839">
        <v>500</v>
      </c>
      <c r="C58" s="839">
        <v>500</v>
      </c>
    </row>
    <row r="59" spans="1:3" ht="15.75" x14ac:dyDescent="0.25">
      <c r="A59" s="815" t="s">
        <v>914</v>
      </c>
      <c r="B59" s="839">
        <v>300</v>
      </c>
      <c r="C59" s="839">
        <v>300</v>
      </c>
    </row>
    <row r="60" spans="1:3" ht="15.75" x14ac:dyDescent="0.25">
      <c r="A60" s="815" t="s">
        <v>915</v>
      </c>
      <c r="B60" s="839">
        <v>50000</v>
      </c>
      <c r="C60" s="839">
        <v>50000</v>
      </c>
    </row>
    <row r="61" spans="1:3" ht="15.75" x14ac:dyDescent="0.25">
      <c r="A61" s="818" t="s">
        <v>916</v>
      </c>
      <c r="B61" s="839">
        <v>2200</v>
      </c>
      <c r="C61" s="839">
        <v>2200</v>
      </c>
    </row>
    <row r="62" spans="1:3" ht="47.25" x14ac:dyDescent="0.25">
      <c r="A62" s="818" t="s">
        <v>917</v>
      </c>
      <c r="B62" s="839">
        <v>13693</v>
      </c>
      <c r="C62" s="839">
        <v>13693</v>
      </c>
    </row>
    <row r="63" spans="1:3" ht="15.75" x14ac:dyDescent="0.25">
      <c r="A63" s="818" t="s">
        <v>1181</v>
      </c>
      <c r="B63" s="839"/>
      <c r="C63" s="842">
        <v>713</v>
      </c>
    </row>
    <row r="64" spans="1:3" ht="15.75" x14ac:dyDescent="0.25">
      <c r="A64" s="818" t="s">
        <v>1182</v>
      </c>
      <c r="B64" s="839"/>
      <c r="C64" s="932">
        <v>20000</v>
      </c>
    </row>
    <row r="65" spans="1:3" ht="15.75" x14ac:dyDescent="0.25">
      <c r="A65" s="838" t="s">
        <v>746</v>
      </c>
      <c r="B65" s="840">
        <f>SUM(B66)</f>
        <v>0</v>
      </c>
      <c r="C65" s="840">
        <f>SUM(C66)</f>
        <v>100</v>
      </c>
    </row>
    <row r="66" spans="1:3" ht="47.25" x14ac:dyDescent="0.25">
      <c r="A66" s="841" t="s">
        <v>918</v>
      </c>
      <c r="B66" s="842"/>
      <c r="C66" s="842">
        <v>100</v>
      </c>
    </row>
    <row r="67" spans="1:3" ht="15.75" x14ac:dyDescent="0.25">
      <c r="A67" s="838" t="s">
        <v>745</v>
      </c>
      <c r="B67" s="840">
        <f>SUM(B68:B73)</f>
        <v>63295</v>
      </c>
      <c r="C67" s="840">
        <f>SUM(C68:C73)</f>
        <v>64021</v>
      </c>
    </row>
    <row r="68" spans="1:3" ht="15.75" x14ac:dyDescent="0.25">
      <c r="A68" s="815" t="s">
        <v>919</v>
      </c>
      <c r="B68" s="839">
        <v>1295</v>
      </c>
      <c r="C68" s="839">
        <v>1295</v>
      </c>
    </row>
    <row r="69" spans="1:3" ht="15.75" x14ac:dyDescent="0.25">
      <c r="A69" s="815" t="s">
        <v>920</v>
      </c>
      <c r="B69" s="839">
        <v>1000</v>
      </c>
      <c r="C69" s="839">
        <v>1000</v>
      </c>
    </row>
    <row r="70" spans="1:3" ht="31.5" x14ac:dyDescent="0.25">
      <c r="A70" s="818" t="s">
        <v>921</v>
      </c>
      <c r="B70" s="839">
        <v>60000</v>
      </c>
      <c r="C70" s="839">
        <v>60000</v>
      </c>
    </row>
    <row r="71" spans="1:3" ht="15.75" x14ac:dyDescent="0.25">
      <c r="A71" s="815" t="s">
        <v>922</v>
      </c>
      <c r="B71" s="839">
        <v>1000</v>
      </c>
      <c r="C71" s="839">
        <v>1000</v>
      </c>
    </row>
    <row r="72" spans="1:3" ht="63" x14ac:dyDescent="0.25">
      <c r="A72" s="927" t="s">
        <v>1183</v>
      </c>
      <c r="B72" s="839"/>
      <c r="C72" s="842">
        <v>482</v>
      </c>
    </row>
    <row r="73" spans="1:3" ht="31.5" x14ac:dyDescent="0.25">
      <c r="A73" s="927" t="s">
        <v>1184</v>
      </c>
      <c r="B73" s="839"/>
      <c r="C73" s="842">
        <v>244</v>
      </c>
    </row>
    <row r="74" spans="1:3" ht="15.75" x14ac:dyDescent="0.25">
      <c r="A74" s="838" t="s">
        <v>742</v>
      </c>
      <c r="B74" s="840">
        <f>SUM(B75:B93)</f>
        <v>1100</v>
      </c>
      <c r="C74" s="840">
        <f>SUM(C75:C93)</f>
        <v>4335</v>
      </c>
    </row>
    <row r="75" spans="1:3" ht="15.75" x14ac:dyDescent="0.25">
      <c r="A75" s="815" t="s">
        <v>923</v>
      </c>
      <c r="B75" s="839">
        <v>400</v>
      </c>
      <c r="C75" s="839">
        <v>400</v>
      </c>
    </row>
    <row r="76" spans="1:3" ht="15.75" x14ac:dyDescent="0.25">
      <c r="A76" s="815" t="s">
        <v>924</v>
      </c>
      <c r="B76" s="839">
        <v>300</v>
      </c>
      <c r="C76" s="839">
        <v>300</v>
      </c>
    </row>
    <row r="77" spans="1:3" ht="15.75" x14ac:dyDescent="0.25">
      <c r="A77" s="815" t="s">
        <v>925</v>
      </c>
      <c r="B77" s="839">
        <v>400</v>
      </c>
      <c r="C77" s="839">
        <v>400</v>
      </c>
    </row>
    <row r="78" spans="1:3" ht="47.25" x14ac:dyDescent="0.25">
      <c r="A78" s="927" t="s">
        <v>926</v>
      </c>
      <c r="B78" s="842"/>
      <c r="C78" s="842">
        <v>60</v>
      </c>
    </row>
    <row r="79" spans="1:3" ht="47.25" x14ac:dyDescent="0.25">
      <c r="A79" s="927" t="s">
        <v>927</v>
      </c>
      <c r="B79" s="842"/>
      <c r="C79" s="842">
        <v>270</v>
      </c>
    </row>
    <row r="80" spans="1:3" ht="47.25" x14ac:dyDescent="0.25">
      <c r="A80" s="927" t="s">
        <v>928</v>
      </c>
      <c r="B80" s="846"/>
      <c r="C80" s="846">
        <v>275</v>
      </c>
    </row>
    <row r="81" spans="1:3" ht="47.25" x14ac:dyDescent="0.25">
      <c r="A81" s="927" t="s">
        <v>929</v>
      </c>
      <c r="B81" s="842"/>
      <c r="C81" s="842">
        <v>500</v>
      </c>
    </row>
    <row r="82" spans="1:3" ht="47.25" x14ac:dyDescent="0.25">
      <c r="A82" s="927" t="s">
        <v>930</v>
      </c>
      <c r="B82" s="846"/>
      <c r="C82" s="846">
        <v>80</v>
      </c>
    </row>
    <row r="83" spans="1:3" ht="47.25" x14ac:dyDescent="0.25">
      <c r="A83" s="927" t="s">
        <v>931</v>
      </c>
      <c r="B83" s="842"/>
      <c r="C83" s="842">
        <v>150</v>
      </c>
    </row>
    <row r="84" spans="1:3" ht="47.25" x14ac:dyDescent="0.25">
      <c r="A84" s="927" t="s">
        <v>932</v>
      </c>
      <c r="B84" s="842"/>
      <c r="C84" s="842">
        <v>100</v>
      </c>
    </row>
    <row r="85" spans="1:3" ht="47.25" x14ac:dyDescent="0.25">
      <c r="A85" s="927" t="s">
        <v>933</v>
      </c>
      <c r="B85" s="842"/>
      <c r="C85" s="842">
        <v>350</v>
      </c>
    </row>
    <row r="86" spans="1:3" ht="63" x14ac:dyDescent="0.25">
      <c r="A86" s="927" t="s">
        <v>934</v>
      </c>
      <c r="B86" s="846"/>
      <c r="C86" s="846">
        <v>150</v>
      </c>
    </row>
    <row r="87" spans="1:3" ht="63" x14ac:dyDescent="0.25">
      <c r="A87" s="927" t="s">
        <v>1185</v>
      </c>
      <c r="B87" s="842"/>
      <c r="C87" s="842">
        <v>50</v>
      </c>
    </row>
    <row r="88" spans="1:3" ht="31.5" x14ac:dyDescent="0.25">
      <c r="A88" s="927" t="s">
        <v>1186</v>
      </c>
      <c r="B88" s="842"/>
      <c r="C88" s="842">
        <v>200</v>
      </c>
    </row>
    <row r="89" spans="1:3" ht="47.25" x14ac:dyDescent="0.25">
      <c r="A89" s="927" t="s">
        <v>1187</v>
      </c>
      <c r="B89" s="842"/>
      <c r="C89" s="842">
        <v>100</v>
      </c>
    </row>
    <row r="90" spans="1:3" ht="31.5" x14ac:dyDescent="0.25">
      <c r="A90" s="927" t="s">
        <v>1188</v>
      </c>
      <c r="B90" s="846"/>
      <c r="C90" s="846">
        <v>100</v>
      </c>
    </row>
    <row r="91" spans="1:3" ht="63" x14ac:dyDescent="0.25">
      <c r="A91" s="927" t="s">
        <v>1189</v>
      </c>
      <c r="B91" s="842"/>
      <c r="C91" s="842">
        <v>30</v>
      </c>
    </row>
    <row r="92" spans="1:3" ht="63" x14ac:dyDescent="0.25">
      <c r="A92" s="927" t="s">
        <v>1190</v>
      </c>
      <c r="B92" s="842"/>
      <c r="C92" s="842">
        <v>20</v>
      </c>
    </row>
    <row r="93" spans="1:3" ht="48" thickBot="1" x14ac:dyDescent="0.3">
      <c r="A93" s="927" t="s">
        <v>1191</v>
      </c>
      <c r="B93" s="846"/>
      <c r="C93" s="846">
        <v>800</v>
      </c>
    </row>
    <row r="94" spans="1:3" ht="17.25" thickTop="1" thickBot="1" x14ac:dyDescent="0.3">
      <c r="A94" s="816" t="s">
        <v>935</v>
      </c>
      <c r="B94" s="847">
        <f>SUM(B5+B7+B9+B11+B13+B15+B17+B19+B21+B23+B24+B25+B27+B28+B29+B30+B32+B33+B34+B36+B37+B38+B39+B40+B41+B48+B50+B57+B65+B67+B74)</f>
        <v>149838</v>
      </c>
      <c r="C94" s="847">
        <f>SUM(C5+C7+C9+C11+C13+C15+C17+C19+C21+C23+C24+C25+C27+C28+C29+C30+C32+C33+C34+C36+C37+C38+C39+C40+C41+C48+C50+C57+C65+C67+C74)</f>
        <v>176074</v>
      </c>
    </row>
    <row r="95" spans="1:3" ht="16.5" thickTop="1" x14ac:dyDescent="0.25">
      <c r="A95" s="848" t="s">
        <v>739</v>
      </c>
      <c r="B95" s="849">
        <f>SUM(B96:B99)</f>
        <v>1865131</v>
      </c>
      <c r="C95" s="849">
        <f>SUM(C96:C99)</f>
        <v>1912376</v>
      </c>
    </row>
    <row r="96" spans="1:3" ht="15.75" x14ac:dyDescent="0.25">
      <c r="A96" s="850" t="s">
        <v>936</v>
      </c>
      <c r="B96" s="851">
        <v>291900</v>
      </c>
      <c r="C96" s="851">
        <v>291900</v>
      </c>
    </row>
    <row r="97" spans="1:3" ht="30" x14ac:dyDescent="0.25">
      <c r="A97" s="850" t="s">
        <v>937</v>
      </c>
      <c r="B97" s="851">
        <v>1369287</v>
      </c>
      <c r="C97" s="851">
        <f>1369287+1214+43531</f>
        <v>1414032</v>
      </c>
    </row>
    <row r="98" spans="1:3" ht="15.75" x14ac:dyDescent="0.25">
      <c r="A98" s="850" t="s">
        <v>938</v>
      </c>
      <c r="B98" s="851">
        <v>138944</v>
      </c>
      <c r="C98" s="851">
        <v>138944</v>
      </c>
    </row>
    <row r="99" spans="1:3" ht="16.5" thickBot="1" x14ac:dyDescent="0.3">
      <c r="A99" s="850" t="s">
        <v>939</v>
      </c>
      <c r="B99" s="851">
        <v>65000</v>
      </c>
      <c r="C99" s="851">
        <f>65000+2500</f>
        <v>67500</v>
      </c>
    </row>
    <row r="100" spans="1:3" ht="17.25" thickTop="1" thickBot="1" x14ac:dyDescent="0.3">
      <c r="A100" s="816" t="s">
        <v>23</v>
      </c>
      <c r="B100" s="847">
        <f>SUM(B94+B95)</f>
        <v>2014969</v>
      </c>
      <c r="C100" s="847">
        <f>SUM(C94+C95)</f>
        <v>2088450</v>
      </c>
    </row>
    <row r="101" spans="1:3" ht="15.75" thickTop="1" x14ac:dyDescent="0.25"/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&amp;R&amp;"Times New Roman CE,Félkövér"8. melléklet a 28/2016.(VI.24.) önkormányzati rendelethez&amp;"Times New Roman CE,Normál"
&amp;"Times New Roman CE,Dőlt"&amp;10 9. melléklet a 3/2016.(II.12.) önkormányzati rendelethez</oddHeader>
    <oddFooter>&amp;C&amp;P</oddFooter>
  </headerFooter>
  <rowBreaks count="1" manualBreakCount="1">
    <brk id="9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2"/>
  <sheetViews>
    <sheetView view="pageBreakPreview" zoomScaleNormal="100" zoomScaleSheetLayoutView="100" workbookViewId="0">
      <selection activeCell="F2" sqref="F2"/>
    </sheetView>
  </sheetViews>
  <sheetFormatPr defaultRowHeight="15.75" x14ac:dyDescent="0.25"/>
  <cols>
    <col min="1" max="1" width="30.75" style="815" customWidth="1"/>
    <col min="2" max="2" width="14" style="824" customWidth="1"/>
    <col min="3" max="3" width="14.375" style="824" customWidth="1"/>
    <col min="4" max="4" width="14.625" style="824" customWidth="1"/>
    <col min="5" max="5" width="13.875" style="824" bestFit="1" customWidth="1"/>
    <col min="6" max="6" width="13.625" style="824" customWidth="1"/>
    <col min="7" max="7" width="13.875" style="810" customWidth="1"/>
    <col min="8" max="8" width="13" style="810" customWidth="1"/>
    <col min="9" max="256" width="9" style="810"/>
    <col min="257" max="257" width="31.875" style="810" customWidth="1"/>
    <col min="258" max="258" width="15.25" style="810" customWidth="1"/>
    <col min="259" max="259" width="15.375" style="810" customWidth="1"/>
    <col min="260" max="512" width="9" style="810"/>
    <col min="513" max="513" width="31.875" style="810" customWidth="1"/>
    <col min="514" max="514" width="15.25" style="810" customWidth="1"/>
    <col min="515" max="515" width="15.375" style="810" customWidth="1"/>
    <col min="516" max="768" width="9" style="810"/>
    <col min="769" max="769" width="31.875" style="810" customWidth="1"/>
    <col min="770" max="770" width="15.25" style="810" customWidth="1"/>
    <col min="771" max="771" width="15.375" style="810" customWidth="1"/>
    <col min="772" max="1024" width="9" style="810"/>
    <col min="1025" max="1025" width="31.875" style="810" customWidth="1"/>
    <col min="1026" max="1026" width="15.25" style="810" customWidth="1"/>
    <col min="1027" max="1027" width="15.375" style="810" customWidth="1"/>
    <col min="1028" max="1280" width="9" style="810"/>
    <col min="1281" max="1281" width="31.875" style="810" customWidth="1"/>
    <col min="1282" max="1282" width="15.25" style="810" customWidth="1"/>
    <col min="1283" max="1283" width="15.375" style="810" customWidth="1"/>
    <col min="1284" max="1536" width="9" style="810"/>
    <col min="1537" max="1537" width="31.875" style="810" customWidth="1"/>
    <col min="1538" max="1538" width="15.25" style="810" customWidth="1"/>
    <col min="1539" max="1539" width="15.375" style="810" customWidth="1"/>
    <col min="1540" max="1792" width="9" style="810"/>
    <col min="1793" max="1793" width="31.875" style="810" customWidth="1"/>
    <col min="1794" max="1794" width="15.25" style="810" customWidth="1"/>
    <col min="1795" max="1795" width="15.375" style="810" customWidth="1"/>
    <col min="1796" max="2048" width="9" style="810"/>
    <col min="2049" max="2049" width="31.875" style="810" customWidth="1"/>
    <col min="2050" max="2050" width="15.25" style="810" customWidth="1"/>
    <col min="2051" max="2051" width="15.375" style="810" customWidth="1"/>
    <col min="2052" max="2304" width="9" style="810"/>
    <col min="2305" max="2305" width="31.875" style="810" customWidth="1"/>
    <col min="2306" max="2306" width="15.25" style="810" customWidth="1"/>
    <col min="2307" max="2307" width="15.375" style="810" customWidth="1"/>
    <col min="2308" max="2560" width="9" style="810"/>
    <col min="2561" max="2561" width="31.875" style="810" customWidth="1"/>
    <col min="2562" max="2562" width="15.25" style="810" customWidth="1"/>
    <col min="2563" max="2563" width="15.375" style="810" customWidth="1"/>
    <col min="2564" max="2816" width="9" style="810"/>
    <col min="2817" max="2817" width="31.875" style="810" customWidth="1"/>
    <col min="2818" max="2818" width="15.25" style="810" customWidth="1"/>
    <col min="2819" max="2819" width="15.375" style="810" customWidth="1"/>
    <col min="2820" max="3072" width="9" style="810"/>
    <col min="3073" max="3073" width="31.875" style="810" customWidth="1"/>
    <col min="3074" max="3074" width="15.25" style="810" customWidth="1"/>
    <col min="3075" max="3075" width="15.375" style="810" customWidth="1"/>
    <col min="3076" max="3328" width="9" style="810"/>
    <col min="3329" max="3329" width="31.875" style="810" customWidth="1"/>
    <col min="3330" max="3330" width="15.25" style="810" customWidth="1"/>
    <col min="3331" max="3331" width="15.375" style="810" customWidth="1"/>
    <col min="3332" max="3584" width="9" style="810"/>
    <col min="3585" max="3585" width="31.875" style="810" customWidth="1"/>
    <col min="3586" max="3586" width="15.25" style="810" customWidth="1"/>
    <col min="3587" max="3587" width="15.375" style="810" customWidth="1"/>
    <col min="3588" max="3840" width="9" style="810"/>
    <col min="3841" max="3841" width="31.875" style="810" customWidth="1"/>
    <col min="3842" max="3842" width="15.25" style="810" customWidth="1"/>
    <col min="3843" max="3843" width="15.375" style="810" customWidth="1"/>
    <col min="3844" max="4096" width="9" style="810"/>
    <col min="4097" max="4097" width="31.875" style="810" customWidth="1"/>
    <col min="4098" max="4098" width="15.25" style="810" customWidth="1"/>
    <col min="4099" max="4099" width="15.375" style="810" customWidth="1"/>
    <col min="4100" max="4352" width="9" style="810"/>
    <col min="4353" max="4353" width="31.875" style="810" customWidth="1"/>
    <col min="4354" max="4354" width="15.25" style="810" customWidth="1"/>
    <col min="4355" max="4355" width="15.375" style="810" customWidth="1"/>
    <col min="4356" max="4608" width="9" style="810"/>
    <col min="4609" max="4609" width="31.875" style="810" customWidth="1"/>
    <col min="4610" max="4610" width="15.25" style="810" customWidth="1"/>
    <col min="4611" max="4611" width="15.375" style="810" customWidth="1"/>
    <col min="4612" max="4864" width="9" style="810"/>
    <col min="4865" max="4865" width="31.875" style="810" customWidth="1"/>
    <col min="4866" max="4866" width="15.25" style="810" customWidth="1"/>
    <col min="4867" max="4867" width="15.375" style="810" customWidth="1"/>
    <col min="4868" max="5120" width="9" style="810"/>
    <col min="5121" max="5121" width="31.875" style="810" customWidth="1"/>
    <col min="5122" max="5122" width="15.25" style="810" customWidth="1"/>
    <col min="5123" max="5123" width="15.375" style="810" customWidth="1"/>
    <col min="5124" max="5376" width="9" style="810"/>
    <col min="5377" max="5377" width="31.875" style="810" customWidth="1"/>
    <col min="5378" max="5378" width="15.25" style="810" customWidth="1"/>
    <col min="5379" max="5379" width="15.375" style="810" customWidth="1"/>
    <col min="5380" max="5632" width="9" style="810"/>
    <col min="5633" max="5633" width="31.875" style="810" customWidth="1"/>
    <col min="5634" max="5634" width="15.25" style="810" customWidth="1"/>
    <col min="5635" max="5635" width="15.375" style="810" customWidth="1"/>
    <col min="5636" max="5888" width="9" style="810"/>
    <col min="5889" max="5889" width="31.875" style="810" customWidth="1"/>
    <col min="5890" max="5890" width="15.25" style="810" customWidth="1"/>
    <col min="5891" max="5891" width="15.375" style="810" customWidth="1"/>
    <col min="5892" max="6144" width="9" style="810"/>
    <col min="6145" max="6145" width="31.875" style="810" customWidth="1"/>
    <col min="6146" max="6146" width="15.25" style="810" customWidth="1"/>
    <col min="6147" max="6147" width="15.375" style="810" customWidth="1"/>
    <col min="6148" max="6400" width="9" style="810"/>
    <col min="6401" max="6401" width="31.875" style="810" customWidth="1"/>
    <col min="6402" max="6402" width="15.25" style="810" customWidth="1"/>
    <col min="6403" max="6403" width="15.375" style="810" customWidth="1"/>
    <col min="6404" max="6656" width="9" style="810"/>
    <col min="6657" max="6657" width="31.875" style="810" customWidth="1"/>
    <col min="6658" max="6658" width="15.25" style="810" customWidth="1"/>
    <col min="6659" max="6659" width="15.375" style="810" customWidth="1"/>
    <col min="6660" max="6912" width="9" style="810"/>
    <col min="6913" max="6913" width="31.875" style="810" customWidth="1"/>
    <col min="6914" max="6914" width="15.25" style="810" customWidth="1"/>
    <col min="6915" max="6915" width="15.375" style="810" customWidth="1"/>
    <col min="6916" max="7168" width="9" style="810"/>
    <col min="7169" max="7169" width="31.875" style="810" customWidth="1"/>
    <col min="7170" max="7170" width="15.25" style="810" customWidth="1"/>
    <col min="7171" max="7171" width="15.375" style="810" customWidth="1"/>
    <col min="7172" max="7424" width="9" style="810"/>
    <col min="7425" max="7425" width="31.875" style="810" customWidth="1"/>
    <col min="7426" max="7426" width="15.25" style="810" customWidth="1"/>
    <col min="7427" max="7427" width="15.375" style="810" customWidth="1"/>
    <col min="7428" max="7680" width="9" style="810"/>
    <col min="7681" max="7681" width="31.875" style="810" customWidth="1"/>
    <col min="7682" max="7682" width="15.25" style="810" customWidth="1"/>
    <col min="7683" max="7683" width="15.375" style="810" customWidth="1"/>
    <col min="7684" max="7936" width="9" style="810"/>
    <col min="7937" max="7937" width="31.875" style="810" customWidth="1"/>
    <col min="7938" max="7938" width="15.25" style="810" customWidth="1"/>
    <col min="7939" max="7939" width="15.375" style="810" customWidth="1"/>
    <col min="7940" max="8192" width="9" style="810"/>
    <col min="8193" max="8193" width="31.875" style="810" customWidth="1"/>
    <col min="8194" max="8194" width="15.25" style="810" customWidth="1"/>
    <col min="8195" max="8195" width="15.375" style="810" customWidth="1"/>
    <col min="8196" max="8448" width="9" style="810"/>
    <col min="8449" max="8449" width="31.875" style="810" customWidth="1"/>
    <col min="8450" max="8450" width="15.25" style="810" customWidth="1"/>
    <col min="8451" max="8451" width="15.375" style="810" customWidth="1"/>
    <col min="8452" max="8704" width="9" style="810"/>
    <col min="8705" max="8705" width="31.875" style="810" customWidth="1"/>
    <col min="8706" max="8706" width="15.25" style="810" customWidth="1"/>
    <col min="8707" max="8707" width="15.375" style="810" customWidth="1"/>
    <col min="8708" max="8960" width="9" style="810"/>
    <col min="8961" max="8961" width="31.875" style="810" customWidth="1"/>
    <col min="8962" max="8962" width="15.25" style="810" customWidth="1"/>
    <col min="8963" max="8963" width="15.375" style="810" customWidth="1"/>
    <col min="8964" max="9216" width="9" style="810"/>
    <col min="9217" max="9217" width="31.875" style="810" customWidth="1"/>
    <col min="9218" max="9218" width="15.25" style="810" customWidth="1"/>
    <col min="9219" max="9219" width="15.375" style="810" customWidth="1"/>
    <col min="9220" max="9472" width="9" style="810"/>
    <col min="9473" max="9473" width="31.875" style="810" customWidth="1"/>
    <col min="9474" max="9474" width="15.25" style="810" customWidth="1"/>
    <col min="9475" max="9475" width="15.375" style="810" customWidth="1"/>
    <col min="9476" max="9728" width="9" style="810"/>
    <col min="9729" max="9729" width="31.875" style="810" customWidth="1"/>
    <col min="9730" max="9730" width="15.25" style="810" customWidth="1"/>
    <col min="9731" max="9731" width="15.375" style="810" customWidth="1"/>
    <col min="9732" max="9984" width="9" style="810"/>
    <col min="9985" max="9985" width="31.875" style="810" customWidth="1"/>
    <col min="9986" max="9986" width="15.25" style="810" customWidth="1"/>
    <col min="9987" max="9987" width="15.375" style="810" customWidth="1"/>
    <col min="9988" max="10240" width="9" style="810"/>
    <col min="10241" max="10241" width="31.875" style="810" customWidth="1"/>
    <col min="10242" max="10242" width="15.25" style="810" customWidth="1"/>
    <col min="10243" max="10243" width="15.375" style="810" customWidth="1"/>
    <col min="10244" max="10496" width="9" style="810"/>
    <col min="10497" max="10497" width="31.875" style="810" customWidth="1"/>
    <col min="10498" max="10498" width="15.25" style="810" customWidth="1"/>
    <col min="10499" max="10499" width="15.375" style="810" customWidth="1"/>
    <col min="10500" max="10752" width="9" style="810"/>
    <col min="10753" max="10753" width="31.875" style="810" customWidth="1"/>
    <col min="10754" max="10754" width="15.25" style="810" customWidth="1"/>
    <col min="10755" max="10755" width="15.375" style="810" customWidth="1"/>
    <col min="10756" max="11008" width="9" style="810"/>
    <col min="11009" max="11009" width="31.875" style="810" customWidth="1"/>
    <col min="11010" max="11010" width="15.25" style="810" customWidth="1"/>
    <col min="11011" max="11011" width="15.375" style="810" customWidth="1"/>
    <col min="11012" max="11264" width="9" style="810"/>
    <col min="11265" max="11265" width="31.875" style="810" customWidth="1"/>
    <col min="11266" max="11266" width="15.25" style="810" customWidth="1"/>
    <col min="11267" max="11267" width="15.375" style="810" customWidth="1"/>
    <col min="11268" max="11520" width="9" style="810"/>
    <col min="11521" max="11521" width="31.875" style="810" customWidth="1"/>
    <col min="11522" max="11522" width="15.25" style="810" customWidth="1"/>
    <col min="11523" max="11523" width="15.375" style="810" customWidth="1"/>
    <col min="11524" max="11776" width="9" style="810"/>
    <col min="11777" max="11777" width="31.875" style="810" customWidth="1"/>
    <col min="11778" max="11778" width="15.25" style="810" customWidth="1"/>
    <col min="11779" max="11779" width="15.375" style="810" customWidth="1"/>
    <col min="11780" max="12032" width="9" style="810"/>
    <col min="12033" max="12033" width="31.875" style="810" customWidth="1"/>
    <col min="12034" max="12034" width="15.25" style="810" customWidth="1"/>
    <col min="12035" max="12035" width="15.375" style="810" customWidth="1"/>
    <col min="12036" max="12288" width="9" style="810"/>
    <col min="12289" max="12289" width="31.875" style="810" customWidth="1"/>
    <col min="12290" max="12290" width="15.25" style="810" customWidth="1"/>
    <col min="12291" max="12291" width="15.375" style="810" customWidth="1"/>
    <col min="12292" max="12544" width="9" style="810"/>
    <col min="12545" max="12545" width="31.875" style="810" customWidth="1"/>
    <col min="12546" max="12546" width="15.25" style="810" customWidth="1"/>
    <col min="12547" max="12547" width="15.375" style="810" customWidth="1"/>
    <col min="12548" max="12800" width="9" style="810"/>
    <col min="12801" max="12801" width="31.875" style="810" customWidth="1"/>
    <col min="12802" max="12802" width="15.25" style="810" customWidth="1"/>
    <col min="12803" max="12803" width="15.375" style="810" customWidth="1"/>
    <col min="12804" max="13056" width="9" style="810"/>
    <col min="13057" max="13057" width="31.875" style="810" customWidth="1"/>
    <col min="13058" max="13058" width="15.25" style="810" customWidth="1"/>
    <col min="13059" max="13059" width="15.375" style="810" customWidth="1"/>
    <col min="13060" max="13312" width="9" style="810"/>
    <col min="13313" max="13313" width="31.875" style="810" customWidth="1"/>
    <col min="13314" max="13314" width="15.25" style="810" customWidth="1"/>
    <col min="13315" max="13315" width="15.375" style="810" customWidth="1"/>
    <col min="13316" max="13568" width="9" style="810"/>
    <col min="13569" max="13569" width="31.875" style="810" customWidth="1"/>
    <col min="13570" max="13570" width="15.25" style="810" customWidth="1"/>
    <col min="13571" max="13571" width="15.375" style="810" customWidth="1"/>
    <col min="13572" max="13824" width="9" style="810"/>
    <col min="13825" max="13825" width="31.875" style="810" customWidth="1"/>
    <col min="13826" max="13826" width="15.25" style="810" customWidth="1"/>
    <col min="13827" max="13827" width="15.375" style="810" customWidth="1"/>
    <col min="13828" max="14080" width="9" style="810"/>
    <col min="14081" max="14081" width="31.875" style="810" customWidth="1"/>
    <col min="14082" max="14082" width="15.25" style="810" customWidth="1"/>
    <col min="14083" max="14083" width="15.375" style="810" customWidth="1"/>
    <col min="14084" max="14336" width="9" style="810"/>
    <col min="14337" max="14337" width="31.875" style="810" customWidth="1"/>
    <col min="14338" max="14338" width="15.25" style="810" customWidth="1"/>
    <col min="14339" max="14339" width="15.375" style="810" customWidth="1"/>
    <col min="14340" max="14592" width="9" style="810"/>
    <col min="14593" max="14593" width="31.875" style="810" customWidth="1"/>
    <col min="14594" max="14594" width="15.25" style="810" customWidth="1"/>
    <col min="14595" max="14595" width="15.375" style="810" customWidth="1"/>
    <col min="14596" max="14848" width="9" style="810"/>
    <col min="14849" max="14849" width="31.875" style="810" customWidth="1"/>
    <col min="14850" max="14850" width="15.25" style="810" customWidth="1"/>
    <col min="14851" max="14851" width="15.375" style="810" customWidth="1"/>
    <col min="14852" max="15104" width="9" style="810"/>
    <col min="15105" max="15105" width="31.875" style="810" customWidth="1"/>
    <col min="15106" max="15106" width="15.25" style="810" customWidth="1"/>
    <col min="15107" max="15107" width="15.375" style="810" customWidth="1"/>
    <col min="15108" max="15360" width="9" style="810"/>
    <col min="15361" max="15361" width="31.875" style="810" customWidth="1"/>
    <col min="15362" max="15362" width="15.25" style="810" customWidth="1"/>
    <col min="15363" max="15363" width="15.375" style="810" customWidth="1"/>
    <col min="15364" max="15616" width="9" style="810"/>
    <col min="15617" max="15617" width="31.875" style="810" customWidth="1"/>
    <col min="15618" max="15618" width="15.25" style="810" customWidth="1"/>
    <col min="15619" max="15619" width="15.375" style="810" customWidth="1"/>
    <col min="15620" max="15872" width="9" style="810"/>
    <col min="15873" max="15873" width="31.875" style="810" customWidth="1"/>
    <col min="15874" max="15874" width="15.25" style="810" customWidth="1"/>
    <col min="15875" max="15875" width="15.375" style="810" customWidth="1"/>
    <col min="15876" max="16128" width="9" style="810"/>
    <col min="16129" max="16129" width="31.875" style="810" customWidth="1"/>
    <col min="16130" max="16130" width="15.25" style="810" customWidth="1"/>
    <col min="16131" max="16131" width="15.375" style="810" customWidth="1"/>
    <col min="16132" max="16384" width="9" style="810"/>
  </cols>
  <sheetData>
    <row r="1" spans="1:8" x14ac:dyDescent="0.25">
      <c r="A1" s="975" t="s">
        <v>895</v>
      </c>
      <c r="B1" s="975"/>
      <c r="C1" s="975"/>
      <c r="D1" s="975"/>
      <c r="E1" s="975"/>
      <c r="F1" s="975"/>
      <c r="G1" s="975"/>
      <c r="H1" s="975"/>
    </row>
    <row r="2" spans="1:8" x14ac:dyDescent="0.25">
      <c r="A2" s="823"/>
      <c r="B2" s="831"/>
      <c r="C2" s="831"/>
      <c r="D2" s="831"/>
      <c r="E2" s="831"/>
      <c r="F2" s="831"/>
    </row>
    <row r="3" spans="1:8" ht="16.5" thickBot="1" x14ac:dyDescent="0.3">
      <c r="A3" s="832"/>
      <c r="B3" s="833"/>
      <c r="C3" s="833"/>
      <c r="D3" s="833"/>
      <c r="E3" s="833"/>
      <c r="F3" s="833"/>
    </row>
    <row r="4" spans="1:8" ht="45" thickTop="1" thickBot="1" x14ac:dyDescent="0.3">
      <c r="A4" s="807" t="s">
        <v>789</v>
      </c>
      <c r="B4" s="972" t="s">
        <v>894</v>
      </c>
      <c r="C4" s="973"/>
      <c r="D4" s="974"/>
      <c r="E4" s="808" t="s">
        <v>1109</v>
      </c>
      <c r="F4" s="809"/>
      <c r="G4" s="808" t="s">
        <v>1107</v>
      </c>
      <c r="H4" s="809"/>
    </row>
    <row r="5" spans="1:8" ht="16.5" thickTop="1" thickBot="1" x14ac:dyDescent="0.3">
      <c r="A5" s="811"/>
      <c r="B5" s="809" t="s">
        <v>882</v>
      </c>
      <c r="C5" s="809" t="s">
        <v>883</v>
      </c>
      <c r="D5" s="809" t="s">
        <v>884</v>
      </c>
      <c r="E5" s="809" t="s">
        <v>885</v>
      </c>
      <c r="F5" s="809" t="s">
        <v>885</v>
      </c>
      <c r="G5" s="809" t="s">
        <v>1108</v>
      </c>
      <c r="H5" s="809" t="s">
        <v>1108</v>
      </c>
    </row>
    <row r="6" spans="1:8" ht="16.5" thickTop="1" x14ac:dyDescent="0.25">
      <c r="A6" s="812" t="s">
        <v>775</v>
      </c>
      <c r="B6" s="813">
        <v>122.8</v>
      </c>
      <c r="C6" s="825">
        <v>122.8</v>
      </c>
      <c r="D6" s="826">
        <v>122.8</v>
      </c>
      <c r="E6" s="814"/>
      <c r="F6" s="814">
        <f>SUM(D6:E6)</f>
        <v>122.8</v>
      </c>
      <c r="G6" s="919"/>
      <c r="H6" s="919">
        <f>SUM(F6:G6)</f>
        <v>122.8</v>
      </c>
    </row>
    <row r="7" spans="1:8" ht="32.25" thickBot="1" x14ac:dyDescent="0.3">
      <c r="A7" s="818" t="s">
        <v>774</v>
      </c>
      <c r="B7" s="813">
        <v>25.5</v>
      </c>
      <c r="C7" s="829">
        <v>25.5</v>
      </c>
      <c r="D7" s="830">
        <v>25.5</v>
      </c>
      <c r="E7" s="814"/>
      <c r="F7" s="814">
        <f>SUM(D7:E7)</f>
        <v>25.5</v>
      </c>
      <c r="G7" s="919"/>
      <c r="H7" s="919">
        <f>SUM(F7:G7)</f>
        <v>25.5</v>
      </c>
    </row>
    <row r="8" spans="1:8" ht="17.25" thickTop="1" thickBot="1" x14ac:dyDescent="0.3">
      <c r="A8" s="816" t="s">
        <v>886</v>
      </c>
      <c r="B8" s="817">
        <f>SUM(B6:B7)</f>
        <v>148.30000000000001</v>
      </c>
      <c r="C8" s="817">
        <f>SUM(C6:C7)</f>
        <v>148.30000000000001</v>
      </c>
      <c r="D8" s="817">
        <f>SUM(D6:D7)</f>
        <v>148.30000000000001</v>
      </c>
      <c r="E8" s="817">
        <f t="shared" ref="E8:H8" si="0">SUM(E6:E7)</f>
        <v>0</v>
      </c>
      <c r="F8" s="817">
        <f t="shared" si="0"/>
        <v>148.30000000000001</v>
      </c>
      <c r="G8" s="817">
        <f t="shared" si="0"/>
        <v>0</v>
      </c>
      <c r="H8" s="817">
        <f t="shared" si="0"/>
        <v>148.30000000000001</v>
      </c>
    </row>
    <row r="9" spans="1:8" ht="16.5" thickTop="1" x14ac:dyDescent="0.25">
      <c r="A9" s="815" t="s">
        <v>772</v>
      </c>
      <c r="B9" s="813">
        <v>22.75</v>
      </c>
      <c r="C9" s="825">
        <v>22.75</v>
      </c>
      <c r="D9" s="826">
        <v>22.75</v>
      </c>
      <c r="E9" s="814"/>
      <c r="F9" s="814">
        <f t="shared" ref="F9:F14" si="1">SUM(D9:E9)</f>
        <v>22.75</v>
      </c>
      <c r="G9" s="919"/>
      <c r="H9" s="919">
        <f t="shared" ref="H9:H14" si="2">SUM(F9:G9)</f>
        <v>22.75</v>
      </c>
    </row>
    <row r="10" spans="1:8" x14ac:dyDescent="0.25">
      <c r="A10" s="815" t="s">
        <v>887</v>
      </c>
      <c r="B10" s="813">
        <v>22.75</v>
      </c>
      <c r="C10" s="827">
        <v>22.75</v>
      </c>
      <c r="D10" s="828">
        <v>22.75</v>
      </c>
      <c r="E10" s="814"/>
      <c r="F10" s="814">
        <f t="shared" si="1"/>
        <v>22.75</v>
      </c>
      <c r="G10" s="919"/>
      <c r="H10" s="919">
        <f t="shared" si="2"/>
        <v>22.75</v>
      </c>
    </row>
    <row r="11" spans="1:8" x14ac:dyDescent="0.25">
      <c r="A11" s="815" t="s">
        <v>770</v>
      </c>
      <c r="B11" s="813">
        <v>22.75</v>
      </c>
      <c r="C11" s="827">
        <v>22.75</v>
      </c>
      <c r="D11" s="828">
        <v>22.75</v>
      </c>
      <c r="E11" s="814"/>
      <c r="F11" s="814">
        <f t="shared" si="1"/>
        <v>22.75</v>
      </c>
      <c r="G11" s="919"/>
      <c r="H11" s="919">
        <f t="shared" si="2"/>
        <v>22.75</v>
      </c>
    </row>
    <row r="12" spans="1:8" x14ac:dyDescent="0.25">
      <c r="A12" s="815" t="s">
        <v>888</v>
      </c>
      <c r="B12" s="813">
        <v>13</v>
      </c>
      <c r="C12" s="827">
        <v>13</v>
      </c>
      <c r="D12" s="828">
        <v>13</v>
      </c>
      <c r="E12" s="814"/>
      <c r="F12" s="814">
        <f t="shared" si="1"/>
        <v>13</v>
      </c>
      <c r="G12" s="919"/>
      <c r="H12" s="919">
        <f t="shared" si="2"/>
        <v>13</v>
      </c>
    </row>
    <row r="13" spans="1:8" x14ac:dyDescent="0.25">
      <c r="A13" s="815" t="s">
        <v>768</v>
      </c>
      <c r="B13" s="813">
        <v>27.75</v>
      </c>
      <c r="C13" s="827">
        <v>27.75</v>
      </c>
      <c r="D13" s="828">
        <v>27.75</v>
      </c>
      <c r="E13" s="814"/>
      <c r="F13" s="814">
        <f t="shared" si="1"/>
        <v>27.75</v>
      </c>
      <c r="G13" s="919"/>
      <c r="H13" s="919">
        <f t="shared" si="2"/>
        <v>27.75</v>
      </c>
    </row>
    <row r="14" spans="1:8" ht="16.5" thickBot="1" x14ac:dyDescent="0.3">
      <c r="A14" s="815" t="s">
        <v>767</v>
      </c>
      <c r="B14" s="813">
        <v>26.75</v>
      </c>
      <c r="C14" s="829">
        <v>26.75</v>
      </c>
      <c r="D14" s="830">
        <v>26.75</v>
      </c>
      <c r="E14" s="814"/>
      <c r="F14" s="814">
        <f t="shared" si="1"/>
        <v>26.75</v>
      </c>
      <c r="G14" s="919"/>
      <c r="H14" s="919">
        <f t="shared" si="2"/>
        <v>26.75</v>
      </c>
    </row>
    <row r="15" spans="1:8" ht="17.25" thickTop="1" thickBot="1" x14ac:dyDescent="0.3">
      <c r="A15" s="816" t="s">
        <v>766</v>
      </c>
      <c r="B15" s="817">
        <f>SUM(B9:B14)</f>
        <v>135.75</v>
      </c>
      <c r="C15" s="817">
        <f>SUM(C9:C14)</f>
        <v>135.75</v>
      </c>
      <c r="D15" s="817">
        <f>SUM(D9:D14)</f>
        <v>135.75</v>
      </c>
      <c r="E15" s="817">
        <f>SUM(E9:E14)</f>
        <v>0</v>
      </c>
      <c r="F15" s="817">
        <f t="shared" ref="F15" si="3">SUM(F9:F14)</f>
        <v>135.75</v>
      </c>
      <c r="G15" s="817">
        <f>SUM(G9:G14)</f>
        <v>0</v>
      </c>
      <c r="H15" s="817">
        <f t="shared" ref="H15" si="4">SUM(H9:H14)</f>
        <v>135.75</v>
      </c>
    </row>
    <row r="16" spans="1:8" ht="16.5" thickTop="1" x14ac:dyDescent="0.25">
      <c r="A16" s="815" t="s">
        <v>765</v>
      </c>
      <c r="B16" s="813">
        <v>46.75</v>
      </c>
      <c r="C16" s="825">
        <v>47.75</v>
      </c>
      <c r="D16" s="826">
        <v>47.75</v>
      </c>
      <c r="E16" s="814"/>
      <c r="F16" s="814">
        <f t="shared" ref="F16:F27" si="5">SUM(D16:E16)</f>
        <v>47.75</v>
      </c>
      <c r="G16" s="919"/>
      <c r="H16" s="919">
        <f t="shared" ref="H16:H27" si="6">SUM(F16:G16)</f>
        <v>47.75</v>
      </c>
    </row>
    <row r="17" spans="1:8" x14ac:dyDescent="0.25">
      <c r="A17" s="815" t="s">
        <v>889</v>
      </c>
      <c r="B17" s="813">
        <v>48</v>
      </c>
      <c r="C17" s="827">
        <v>49</v>
      </c>
      <c r="D17" s="828">
        <v>49</v>
      </c>
      <c r="E17" s="814"/>
      <c r="F17" s="814">
        <f t="shared" si="5"/>
        <v>49</v>
      </c>
      <c r="G17" s="919"/>
      <c r="H17" s="919">
        <f t="shared" si="6"/>
        <v>49</v>
      </c>
    </row>
    <row r="18" spans="1:8" ht="31.5" x14ac:dyDescent="0.25">
      <c r="A18" s="818" t="s">
        <v>695</v>
      </c>
      <c r="B18" s="813">
        <v>53</v>
      </c>
      <c r="C18" s="827">
        <v>54</v>
      </c>
      <c r="D18" s="828">
        <v>54</v>
      </c>
      <c r="E18" s="814"/>
      <c r="F18" s="814">
        <f t="shared" si="5"/>
        <v>54</v>
      </c>
      <c r="G18" s="919"/>
      <c r="H18" s="919">
        <f t="shared" si="6"/>
        <v>54</v>
      </c>
    </row>
    <row r="19" spans="1:8" x14ac:dyDescent="0.25">
      <c r="A19" s="815" t="s">
        <v>763</v>
      </c>
      <c r="B19" s="813">
        <v>32</v>
      </c>
      <c r="C19" s="827">
        <v>32</v>
      </c>
      <c r="D19" s="828">
        <v>32</v>
      </c>
      <c r="E19" s="814"/>
      <c r="F19" s="814">
        <f t="shared" si="5"/>
        <v>32</v>
      </c>
      <c r="G19" s="919"/>
      <c r="H19" s="919">
        <f t="shared" si="6"/>
        <v>32</v>
      </c>
    </row>
    <row r="20" spans="1:8" x14ac:dyDescent="0.25">
      <c r="A20" s="815" t="s">
        <v>762</v>
      </c>
      <c r="B20" s="813">
        <v>41.5</v>
      </c>
      <c r="C20" s="827">
        <v>42</v>
      </c>
      <c r="D20" s="828">
        <v>42</v>
      </c>
      <c r="E20" s="814"/>
      <c r="F20" s="814">
        <f t="shared" si="5"/>
        <v>42</v>
      </c>
      <c r="G20" s="919"/>
      <c r="H20" s="919">
        <f t="shared" si="6"/>
        <v>42</v>
      </c>
    </row>
    <row r="21" spans="1:8" x14ac:dyDescent="0.25">
      <c r="A21" s="815" t="s">
        <v>761</v>
      </c>
      <c r="B21" s="813">
        <v>35</v>
      </c>
      <c r="C21" s="827">
        <v>36</v>
      </c>
      <c r="D21" s="828">
        <v>36</v>
      </c>
      <c r="E21" s="814"/>
      <c r="F21" s="814">
        <f t="shared" si="5"/>
        <v>36</v>
      </c>
      <c r="G21" s="919"/>
      <c r="H21" s="919">
        <f t="shared" si="6"/>
        <v>36</v>
      </c>
    </row>
    <row r="22" spans="1:8" x14ac:dyDescent="0.25">
      <c r="A22" s="815" t="s">
        <v>760</v>
      </c>
      <c r="B22" s="813">
        <v>41</v>
      </c>
      <c r="C22" s="827">
        <v>41</v>
      </c>
      <c r="D22" s="828">
        <v>41</v>
      </c>
      <c r="E22" s="814"/>
      <c r="F22" s="814">
        <f t="shared" si="5"/>
        <v>41</v>
      </c>
      <c r="G22" s="919"/>
      <c r="H22" s="919">
        <f t="shared" si="6"/>
        <v>41</v>
      </c>
    </row>
    <row r="23" spans="1:8" x14ac:dyDescent="0.25">
      <c r="A23" s="815" t="s">
        <v>809</v>
      </c>
      <c r="B23" s="813">
        <v>46</v>
      </c>
      <c r="C23" s="827">
        <v>46</v>
      </c>
      <c r="D23" s="828">
        <v>46</v>
      </c>
      <c r="E23" s="814"/>
      <c r="F23" s="814">
        <f t="shared" si="5"/>
        <v>46</v>
      </c>
      <c r="G23" s="919"/>
      <c r="H23" s="919">
        <f t="shared" si="6"/>
        <v>46</v>
      </c>
    </row>
    <row r="24" spans="1:8" x14ac:dyDescent="0.25">
      <c r="A24" s="815" t="s">
        <v>758</v>
      </c>
      <c r="B24" s="813">
        <v>14</v>
      </c>
      <c r="C24" s="827">
        <v>14.5</v>
      </c>
      <c r="D24" s="828">
        <v>14.5</v>
      </c>
      <c r="E24" s="814"/>
      <c r="F24" s="814">
        <f t="shared" si="5"/>
        <v>14.5</v>
      </c>
      <c r="G24" s="919"/>
      <c r="H24" s="919">
        <f t="shared" si="6"/>
        <v>14.5</v>
      </c>
    </row>
    <row r="25" spans="1:8" x14ac:dyDescent="0.25">
      <c r="A25" s="815" t="s">
        <v>810</v>
      </c>
      <c r="B25" s="813">
        <v>50.5</v>
      </c>
      <c r="C25" s="827">
        <v>51.5</v>
      </c>
      <c r="D25" s="828">
        <v>51.5</v>
      </c>
      <c r="E25" s="814"/>
      <c r="F25" s="814">
        <f t="shared" si="5"/>
        <v>51.5</v>
      </c>
      <c r="G25" s="919"/>
      <c r="H25" s="919">
        <f t="shared" si="6"/>
        <v>51.5</v>
      </c>
    </row>
    <row r="26" spans="1:8" x14ac:dyDescent="0.25">
      <c r="A26" s="815" t="s">
        <v>756</v>
      </c>
      <c r="B26" s="813">
        <v>35</v>
      </c>
      <c r="C26" s="827">
        <v>35.5</v>
      </c>
      <c r="D26" s="828">
        <v>35.5</v>
      </c>
      <c r="E26" s="814"/>
      <c r="F26" s="814">
        <f t="shared" si="5"/>
        <v>35.5</v>
      </c>
      <c r="G26" s="919"/>
      <c r="H26" s="919">
        <f t="shared" si="6"/>
        <v>35.5</v>
      </c>
    </row>
    <row r="27" spans="1:8" ht="16.5" thickBot="1" x14ac:dyDescent="0.3">
      <c r="A27" s="815" t="s">
        <v>755</v>
      </c>
      <c r="B27" s="813">
        <v>42</v>
      </c>
      <c r="C27" s="829">
        <v>42.5</v>
      </c>
      <c r="D27" s="830">
        <v>42.5</v>
      </c>
      <c r="E27" s="814"/>
      <c r="F27" s="814">
        <f t="shared" si="5"/>
        <v>42.5</v>
      </c>
      <c r="G27" s="919"/>
      <c r="H27" s="919">
        <f t="shared" si="6"/>
        <v>42.5</v>
      </c>
    </row>
    <row r="28" spans="1:8" ht="17.25" thickTop="1" thickBot="1" x14ac:dyDescent="0.3">
      <c r="A28" s="816" t="s">
        <v>754</v>
      </c>
      <c r="B28" s="817">
        <f t="shared" ref="B28:H28" si="7">SUM(B16:B27)</f>
        <v>484.75</v>
      </c>
      <c r="C28" s="817">
        <f t="shared" si="7"/>
        <v>491.75</v>
      </c>
      <c r="D28" s="817">
        <f t="shared" si="7"/>
        <v>491.75</v>
      </c>
      <c r="E28" s="817">
        <f t="shared" si="7"/>
        <v>0</v>
      </c>
      <c r="F28" s="817">
        <f t="shared" si="7"/>
        <v>491.75</v>
      </c>
      <c r="G28" s="817">
        <f t="shared" si="7"/>
        <v>0</v>
      </c>
      <c r="H28" s="817">
        <f t="shared" si="7"/>
        <v>491.75</v>
      </c>
    </row>
    <row r="29" spans="1:8" ht="17.25" thickTop="1" thickBot="1" x14ac:dyDescent="0.3">
      <c r="A29" s="816" t="s">
        <v>890</v>
      </c>
      <c r="B29" s="817">
        <f t="shared" ref="B29:F29" si="8">SUM(B28+B15+B8)</f>
        <v>768.8</v>
      </c>
      <c r="C29" s="817">
        <f t="shared" si="8"/>
        <v>775.8</v>
      </c>
      <c r="D29" s="817">
        <f t="shared" si="8"/>
        <v>775.8</v>
      </c>
      <c r="E29" s="817">
        <f t="shared" si="8"/>
        <v>0</v>
      </c>
      <c r="F29" s="817">
        <f t="shared" si="8"/>
        <v>775.8</v>
      </c>
      <c r="G29" s="817">
        <v>0</v>
      </c>
      <c r="H29" s="817">
        <f t="shared" ref="H29" si="9">SUM(H28+H15+H8)</f>
        <v>775.8</v>
      </c>
    </row>
    <row r="30" spans="1:8" ht="16.5" thickTop="1" x14ac:dyDescent="0.25">
      <c r="A30" s="815" t="s">
        <v>681</v>
      </c>
      <c r="B30" s="813">
        <v>215.5</v>
      </c>
      <c r="C30" s="825">
        <v>215.5</v>
      </c>
      <c r="D30" s="826">
        <v>215.5</v>
      </c>
      <c r="E30" s="814"/>
      <c r="F30" s="814">
        <f>SUM(D30:E30)</f>
        <v>215.5</v>
      </c>
      <c r="G30" s="919"/>
      <c r="H30" s="919">
        <f>SUM(F30:G30)</f>
        <v>215.5</v>
      </c>
    </row>
    <row r="31" spans="1:8" ht="33.75" customHeight="1" x14ac:dyDescent="0.25">
      <c r="A31" s="818" t="s">
        <v>811</v>
      </c>
      <c r="B31" s="813">
        <v>58</v>
      </c>
      <c r="C31" s="827">
        <v>58</v>
      </c>
      <c r="D31" s="828">
        <v>58</v>
      </c>
      <c r="E31" s="814"/>
      <c r="F31" s="814">
        <f>SUM(D31:E31)</f>
        <v>58</v>
      </c>
      <c r="G31" s="919"/>
      <c r="H31" s="919">
        <f>SUM(F31:G31)</f>
        <v>58</v>
      </c>
    </row>
    <row r="32" spans="1:8" ht="16.5" thickBot="1" x14ac:dyDescent="0.3">
      <c r="A32" s="819" t="s">
        <v>731</v>
      </c>
      <c r="B32" s="813">
        <v>48</v>
      </c>
      <c r="C32" s="829">
        <v>48</v>
      </c>
      <c r="D32" s="830">
        <v>48</v>
      </c>
      <c r="E32" s="814"/>
      <c r="F32" s="814">
        <f>SUM(D32:E32)</f>
        <v>48</v>
      </c>
      <c r="G32" s="919"/>
      <c r="H32" s="919">
        <f>SUM(F32:G32)</f>
        <v>48</v>
      </c>
    </row>
    <row r="33" spans="1:8" ht="17.25" thickTop="1" thickBot="1" x14ac:dyDescent="0.3">
      <c r="A33" s="816" t="s">
        <v>752</v>
      </c>
      <c r="B33" s="817">
        <f>SUM(B30:B32)</f>
        <v>321.5</v>
      </c>
      <c r="C33" s="817">
        <f>SUM(C30:C32)</f>
        <v>321.5</v>
      </c>
      <c r="D33" s="817">
        <f>SUM(D30:D32)</f>
        <v>321.5</v>
      </c>
      <c r="E33" s="817">
        <f t="shared" ref="E33:H33" si="10">SUM(E30:E32)</f>
        <v>0</v>
      </c>
      <c r="F33" s="817">
        <f t="shared" si="10"/>
        <v>321.5</v>
      </c>
      <c r="G33" s="817">
        <f t="shared" si="10"/>
        <v>0</v>
      </c>
      <c r="H33" s="817">
        <f t="shared" si="10"/>
        <v>321.5</v>
      </c>
    </row>
    <row r="34" spans="1:8" ht="17.25" thickTop="1" thickBot="1" x14ac:dyDescent="0.3">
      <c r="A34" s="811" t="s">
        <v>891</v>
      </c>
      <c r="B34" s="817">
        <v>300.5</v>
      </c>
      <c r="C34" s="817">
        <v>300.5</v>
      </c>
      <c r="D34" s="817">
        <v>300.5</v>
      </c>
      <c r="E34" s="817"/>
      <c r="F34" s="817">
        <f t="shared" ref="F34:F41" si="11">SUM(D34:E34)</f>
        <v>300.5</v>
      </c>
      <c r="G34" s="817"/>
      <c r="H34" s="817">
        <f t="shared" ref="H34:H41" si="12">SUM(F34:G34)</f>
        <v>300.5</v>
      </c>
    </row>
    <row r="35" spans="1:8" ht="16.5" thickTop="1" x14ac:dyDescent="0.25">
      <c r="A35" s="815" t="s">
        <v>750</v>
      </c>
      <c r="B35" s="813">
        <v>11</v>
      </c>
      <c r="C35" s="825">
        <v>11</v>
      </c>
      <c r="D35" s="826">
        <v>11</v>
      </c>
      <c r="E35" s="814"/>
      <c r="F35" s="814">
        <f t="shared" si="11"/>
        <v>11</v>
      </c>
      <c r="G35" s="919"/>
      <c r="H35" s="919">
        <f t="shared" si="12"/>
        <v>11</v>
      </c>
    </row>
    <row r="36" spans="1:8" x14ac:dyDescent="0.25">
      <c r="A36" s="815" t="s">
        <v>749</v>
      </c>
      <c r="B36" s="813">
        <v>15</v>
      </c>
      <c r="C36" s="827">
        <v>15</v>
      </c>
      <c r="D36" s="828">
        <v>15</v>
      </c>
      <c r="E36" s="814">
        <v>-15</v>
      </c>
      <c r="F36" s="814">
        <f t="shared" si="11"/>
        <v>0</v>
      </c>
      <c r="G36" s="919"/>
      <c r="H36" s="919">
        <f t="shared" si="12"/>
        <v>0</v>
      </c>
    </row>
    <row r="37" spans="1:8" x14ac:dyDescent="0.25">
      <c r="A37" s="815" t="s">
        <v>748</v>
      </c>
      <c r="B37" s="813">
        <v>82</v>
      </c>
      <c r="C37" s="827">
        <v>82</v>
      </c>
      <c r="D37" s="828">
        <v>82</v>
      </c>
      <c r="E37" s="814"/>
      <c r="F37" s="814">
        <f t="shared" si="11"/>
        <v>82</v>
      </c>
      <c r="G37" s="919"/>
      <c r="H37" s="919">
        <f t="shared" si="12"/>
        <v>82</v>
      </c>
    </row>
    <row r="38" spans="1:8" x14ac:dyDescent="0.25">
      <c r="A38" s="815" t="s">
        <v>747</v>
      </c>
      <c r="B38" s="813">
        <v>86.63</v>
      </c>
      <c r="C38" s="827">
        <v>86.63</v>
      </c>
      <c r="D38" s="828">
        <v>86.63</v>
      </c>
      <c r="E38" s="814">
        <v>15</v>
      </c>
      <c r="F38" s="814">
        <f t="shared" si="11"/>
        <v>101.63</v>
      </c>
      <c r="G38" s="919"/>
      <c r="H38" s="919">
        <f t="shared" si="12"/>
        <v>101.63</v>
      </c>
    </row>
    <row r="39" spans="1:8" x14ac:dyDescent="0.25">
      <c r="A39" s="815" t="s">
        <v>746</v>
      </c>
      <c r="B39" s="813">
        <v>13</v>
      </c>
      <c r="C39" s="827">
        <v>13</v>
      </c>
      <c r="D39" s="828">
        <v>25.5</v>
      </c>
      <c r="E39" s="814"/>
      <c r="F39" s="814">
        <f t="shared" si="11"/>
        <v>25.5</v>
      </c>
      <c r="G39" s="919"/>
      <c r="H39" s="919">
        <f t="shared" si="12"/>
        <v>25.5</v>
      </c>
    </row>
    <row r="40" spans="1:8" x14ac:dyDescent="0.25">
      <c r="A40" s="815" t="s">
        <v>745</v>
      </c>
      <c r="B40" s="813">
        <v>109</v>
      </c>
      <c r="C40" s="827">
        <v>109</v>
      </c>
      <c r="D40" s="828">
        <v>109</v>
      </c>
      <c r="E40" s="814"/>
      <c r="F40" s="814">
        <f t="shared" si="11"/>
        <v>109</v>
      </c>
      <c r="G40" s="919"/>
      <c r="H40" s="919">
        <f t="shared" si="12"/>
        <v>109</v>
      </c>
    </row>
    <row r="41" spans="1:8" ht="16.5" thickBot="1" x14ac:dyDescent="0.3">
      <c r="A41" s="815" t="s">
        <v>742</v>
      </c>
      <c r="B41" s="813">
        <v>25.25</v>
      </c>
      <c r="C41" s="829">
        <v>25.25</v>
      </c>
      <c r="D41" s="830">
        <v>25.25</v>
      </c>
      <c r="E41" s="814"/>
      <c r="F41" s="814">
        <f t="shared" si="11"/>
        <v>25.25</v>
      </c>
      <c r="G41" s="919"/>
      <c r="H41" s="919">
        <f t="shared" si="12"/>
        <v>25.25</v>
      </c>
    </row>
    <row r="42" spans="1:8" ht="17.25" thickTop="1" thickBot="1" x14ac:dyDescent="0.3">
      <c r="A42" s="816" t="s">
        <v>892</v>
      </c>
      <c r="B42" s="817">
        <f>SUM(B35:B41)</f>
        <v>341.88</v>
      </c>
      <c r="C42" s="817">
        <f>SUM(C35:C41)</f>
        <v>341.88</v>
      </c>
      <c r="D42" s="817">
        <f>SUM(D35:D41)</f>
        <v>354.38</v>
      </c>
      <c r="E42" s="817">
        <f t="shared" ref="E42:H42" si="13">SUM(E35:E41)</f>
        <v>0</v>
      </c>
      <c r="F42" s="817">
        <f t="shared" si="13"/>
        <v>354.38</v>
      </c>
      <c r="G42" s="817">
        <f t="shared" si="13"/>
        <v>0</v>
      </c>
      <c r="H42" s="817">
        <f t="shared" si="13"/>
        <v>354.38</v>
      </c>
    </row>
    <row r="43" spans="1:8" ht="17.25" thickTop="1" thickBot="1" x14ac:dyDescent="0.3">
      <c r="A43" s="820" t="s">
        <v>740</v>
      </c>
      <c r="B43" s="817">
        <f>SUM(B29+B33+B34+B42)</f>
        <v>1732.6799999999998</v>
      </c>
      <c r="C43" s="817">
        <f>SUM(C29+C33+C34+C42)</f>
        <v>1739.6799999999998</v>
      </c>
      <c r="D43" s="817">
        <f>SUM(D29+D33+D34+D42)</f>
        <v>1752.1799999999998</v>
      </c>
      <c r="E43" s="817">
        <f t="shared" ref="E43:H43" si="14">SUM(E29+E33+E34+E42)</f>
        <v>0</v>
      </c>
      <c r="F43" s="817">
        <f t="shared" si="14"/>
        <v>1752.1799999999998</v>
      </c>
      <c r="G43" s="817">
        <f t="shared" si="14"/>
        <v>0</v>
      </c>
      <c r="H43" s="817">
        <f t="shared" si="14"/>
        <v>1752.1799999999998</v>
      </c>
    </row>
    <row r="44" spans="1:8" ht="17.25" thickTop="1" thickBot="1" x14ac:dyDescent="0.3">
      <c r="A44" s="821" t="s">
        <v>739</v>
      </c>
      <c r="B44" s="822">
        <v>325</v>
      </c>
      <c r="C44" s="822">
        <v>325</v>
      </c>
      <c r="D44" s="822">
        <v>325</v>
      </c>
      <c r="E44" s="822"/>
      <c r="F44" s="814">
        <f>SUM(D44:E44)</f>
        <v>325</v>
      </c>
      <c r="G44" s="822">
        <v>25</v>
      </c>
      <c r="H44" s="919">
        <f>SUM(F44:G44)</f>
        <v>350</v>
      </c>
    </row>
    <row r="45" spans="1:8" ht="17.25" thickTop="1" thickBot="1" x14ac:dyDescent="0.3">
      <c r="A45" s="816" t="s">
        <v>893</v>
      </c>
      <c r="B45" s="817">
        <f>SUM(B43:B44)</f>
        <v>2057.6799999999998</v>
      </c>
      <c r="C45" s="817">
        <f>SUM(C43:C44)</f>
        <v>2064.6799999999998</v>
      </c>
      <c r="D45" s="817">
        <f>SUM(D43:D44)</f>
        <v>2077.1799999999998</v>
      </c>
      <c r="E45" s="817">
        <f t="shared" ref="E45:H45" si="15">SUM(E43:E44)</f>
        <v>0</v>
      </c>
      <c r="F45" s="817">
        <f t="shared" si="15"/>
        <v>2077.1799999999998</v>
      </c>
      <c r="G45" s="817">
        <f t="shared" si="15"/>
        <v>25</v>
      </c>
      <c r="H45" s="817">
        <f t="shared" si="15"/>
        <v>2102.1799999999998</v>
      </c>
    </row>
    <row r="46" spans="1:8" ht="16.5" thickTop="1" x14ac:dyDescent="0.25">
      <c r="A46" s="823"/>
    </row>
    <row r="47" spans="1:8" x14ac:dyDescent="0.25">
      <c r="A47" s="823"/>
    </row>
    <row r="48" spans="1:8" x14ac:dyDescent="0.25">
      <c r="A48" s="823"/>
    </row>
    <row r="49" spans="1:1" x14ac:dyDescent="0.25">
      <c r="A49" s="823"/>
    </row>
    <row r="50" spans="1:1" x14ac:dyDescent="0.25">
      <c r="A50" s="823"/>
    </row>
    <row r="51" spans="1:1" x14ac:dyDescent="0.25">
      <c r="A51" s="823"/>
    </row>
    <row r="52" spans="1:1" s="824" customFormat="1" x14ac:dyDescent="0.25">
      <c r="A52" s="823"/>
    </row>
    <row r="53" spans="1:1" s="824" customFormat="1" x14ac:dyDescent="0.25">
      <c r="A53" s="823"/>
    </row>
    <row r="54" spans="1:1" s="824" customFormat="1" x14ac:dyDescent="0.25">
      <c r="A54" s="823"/>
    </row>
    <row r="55" spans="1:1" s="824" customFormat="1" x14ac:dyDescent="0.25">
      <c r="A55" s="823"/>
    </row>
    <row r="56" spans="1:1" s="824" customFormat="1" x14ac:dyDescent="0.25">
      <c r="A56" s="823"/>
    </row>
    <row r="57" spans="1:1" s="824" customFormat="1" x14ac:dyDescent="0.25">
      <c r="A57" s="823"/>
    </row>
    <row r="58" spans="1:1" s="824" customFormat="1" x14ac:dyDescent="0.25">
      <c r="A58" s="823"/>
    </row>
    <row r="59" spans="1:1" s="824" customFormat="1" x14ac:dyDescent="0.25">
      <c r="A59" s="823"/>
    </row>
    <row r="60" spans="1:1" s="824" customFormat="1" x14ac:dyDescent="0.25">
      <c r="A60" s="823"/>
    </row>
    <row r="61" spans="1:1" s="824" customFormat="1" x14ac:dyDescent="0.25">
      <c r="A61" s="823"/>
    </row>
    <row r="62" spans="1:1" s="824" customFormat="1" x14ac:dyDescent="0.25">
      <c r="A62" s="823"/>
    </row>
    <row r="63" spans="1:1" s="824" customFormat="1" x14ac:dyDescent="0.25">
      <c r="A63" s="823"/>
    </row>
    <row r="64" spans="1:1" s="824" customFormat="1" x14ac:dyDescent="0.25">
      <c r="A64" s="823"/>
    </row>
    <row r="65" spans="1:1" s="824" customFormat="1" x14ac:dyDescent="0.25">
      <c r="A65" s="823"/>
    </row>
    <row r="66" spans="1:1" s="824" customFormat="1" x14ac:dyDescent="0.25">
      <c r="A66" s="823"/>
    </row>
    <row r="67" spans="1:1" s="824" customFormat="1" x14ac:dyDescent="0.25">
      <c r="A67" s="823"/>
    </row>
    <row r="68" spans="1:1" s="824" customFormat="1" x14ac:dyDescent="0.25">
      <c r="A68" s="823"/>
    </row>
    <row r="69" spans="1:1" s="824" customFormat="1" x14ac:dyDescent="0.25">
      <c r="A69" s="823"/>
    </row>
    <row r="70" spans="1:1" s="824" customFormat="1" x14ac:dyDescent="0.25">
      <c r="A70" s="823"/>
    </row>
    <row r="71" spans="1:1" s="824" customFormat="1" x14ac:dyDescent="0.25">
      <c r="A71" s="823"/>
    </row>
    <row r="72" spans="1:1" s="824" customFormat="1" x14ac:dyDescent="0.25">
      <c r="A72" s="823"/>
    </row>
    <row r="73" spans="1:1" s="824" customFormat="1" x14ac:dyDescent="0.25">
      <c r="A73" s="823"/>
    </row>
    <row r="74" spans="1:1" s="824" customFormat="1" x14ac:dyDescent="0.25">
      <c r="A74" s="823"/>
    </row>
    <row r="75" spans="1:1" s="824" customFormat="1" x14ac:dyDescent="0.25">
      <c r="A75" s="823"/>
    </row>
    <row r="76" spans="1:1" s="824" customFormat="1" x14ac:dyDescent="0.25">
      <c r="A76" s="823"/>
    </row>
    <row r="77" spans="1:1" s="824" customFormat="1" x14ac:dyDescent="0.25">
      <c r="A77" s="823"/>
    </row>
    <row r="78" spans="1:1" s="824" customFormat="1" x14ac:dyDescent="0.25">
      <c r="A78" s="823"/>
    </row>
    <row r="79" spans="1:1" s="824" customFormat="1" x14ac:dyDescent="0.25">
      <c r="A79" s="823"/>
    </row>
    <row r="80" spans="1:1" s="824" customFormat="1" x14ac:dyDescent="0.25">
      <c r="A80" s="823"/>
    </row>
    <row r="81" spans="1:1" s="824" customFormat="1" x14ac:dyDescent="0.25">
      <c r="A81" s="823"/>
    </row>
    <row r="82" spans="1:1" s="824" customFormat="1" x14ac:dyDescent="0.25">
      <c r="A82" s="823"/>
    </row>
    <row r="83" spans="1:1" s="824" customFormat="1" x14ac:dyDescent="0.25">
      <c r="A83" s="823"/>
    </row>
    <row r="84" spans="1:1" s="824" customFormat="1" x14ac:dyDescent="0.25">
      <c r="A84" s="823"/>
    </row>
    <row r="85" spans="1:1" s="824" customFormat="1" x14ac:dyDescent="0.25">
      <c r="A85" s="823"/>
    </row>
    <row r="86" spans="1:1" s="824" customFormat="1" x14ac:dyDescent="0.25">
      <c r="A86" s="823"/>
    </row>
    <row r="87" spans="1:1" s="824" customFormat="1" x14ac:dyDescent="0.25">
      <c r="A87" s="823"/>
    </row>
    <row r="88" spans="1:1" s="824" customFormat="1" x14ac:dyDescent="0.25">
      <c r="A88" s="823"/>
    </row>
    <row r="89" spans="1:1" s="824" customFormat="1" x14ac:dyDescent="0.25">
      <c r="A89" s="823"/>
    </row>
    <row r="90" spans="1:1" s="824" customFormat="1" x14ac:dyDescent="0.25">
      <c r="A90" s="823"/>
    </row>
    <row r="91" spans="1:1" s="824" customFormat="1" x14ac:dyDescent="0.25">
      <c r="A91" s="823"/>
    </row>
    <row r="92" spans="1:1" s="824" customFormat="1" x14ac:dyDescent="0.25">
      <c r="A92" s="823"/>
    </row>
    <row r="93" spans="1:1" s="824" customFormat="1" x14ac:dyDescent="0.25">
      <c r="A93" s="823"/>
    </row>
    <row r="94" spans="1:1" s="824" customFormat="1" x14ac:dyDescent="0.25">
      <c r="A94" s="823"/>
    </row>
    <row r="95" spans="1:1" s="824" customFormat="1" x14ac:dyDescent="0.25">
      <c r="A95" s="823"/>
    </row>
    <row r="96" spans="1:1" s="824" customFormat="1" x14ac:dyDescent="0.25">
      <c r="A96" s="823"/>
    </row>
    <row r="97" spans="1:1" s="824" customFormat="1" x14ac:dyDescent="0.25">
      <c r="A97" s="823"/>
    </row>
    <row r="98" spans="1:1" s="824" customFormat="1" x14ac:dyDescent="0.25">
      <c r="A98" s="823"/>
    </row>
    <row r="99" spans="1:1" s="824" customFormat="1" x14ac:dyDescent="0.25">
      <c r="A99" s="823"/>
    </row>
    <row r="100" spans="1:1" s="824" customFormat="1" x14ac:dyDescent="0.25">
      <c r="A100" s="823"/>
    </row>
    <row r="101" spans="1:1" s="824" customFormat="1" x14ac:dyDescent="0.25">
      <c r="A101" s="823"/>
    </row>
    <row r="102" spans="1:1" s="824" customFormat="1" x14ac:dyDescent="0.25">
      <c r="A102" s="823"/>
    </row>
    <row r="103" spans="1:1" s="824" customFormat="1" x14ac:dyDescent="0.25">
      <c r="A103" s="823"/>
    </row>
    <row r="104" spans="1:1" s="824" customFormat="1" x14ac:dyDescent="0.25">
      <c r="A104" s="823"/>
    </row>
    <row r="105" spans="1:1" s="824" customFormat="1" x14ac:dyDescent="0.25">
      <c r="A105" s="823"/>
    </row>
    <row r="106" spans="1:1" s="824" customFormat="1" x14ac:dyDescent="0.25">
      <c r="A106" s="823"/>
    </row>
    <row r="107" spans="1:1" s="824" customFormat="1" x14ac:dyDescent="0.25">
      <c r="A107" s="823"/>
    </row>
    <row r="108" spans="1:1" s="824" customFormat="1" x14ac:dyDescent="0.25">
      <c r="A108" s="823"/>
    </row>
    <row r="109" spans="1:1" s="824" customFormat="1" x14ac:dyDescent="0.25">
      <c r="A109" s="823"/>
    </row>
    <row r="110" spans="1:1" s="824" customFormat="1" x14ac:dyDescent="0.25">
      <c r="A110" s="823"/>
    </row>
    <row r="111" spans="1:1" s="824" customFormat="1" x14ac:dyDescent="0.25">
      <c r="A111" s="823"/>
    </row>
    <row r="112" spans="1:1" s="824" customFormat="1" x14ac:dyDescent="0.25">
      <c r="A112" s="823"/>
    </row>
    <row r="113" spans="1:1" s="824" customFormat="1" x14ac:dyDescent="0.25">
      <c r="A113" s="823"/>
    </row>
    <row r="114" spans="1:1" s="824" customFormat="1" x14ac:dyDescent="0.25">
      <c r="A114" s="823"/>
    </row>
    <row r="115" spans="1:1" s="824" customFormat="1" x14ac:dyDescent="0.25">
      <c r="A115" s="823"/>
    </row>
    <row r="116" spans="1:1" s="824" customFormat="1" x14ac:dyDescent="0.25">
      <c r="A116" s="823"/>
    </row>
    <row r="117" spans="1:1" s="824" customFormat="1" x14ac:dyDescent="0.25">
      <c r="A117" s="823"/>
    </row>
    <row r="118" spans="1:1" s="824" customFormat="1" x14ac:dyDescent="0.25">
      <c r="A118" s="823"/>
    </row>
    <row r="119" spans="1:1" s="824" customFormat="1" x14ac:dyDescent="0.25">
      <c r="A119" s="823"/>
    </row>
    <row r="120" spans="1:1" s="824" customFormat="1" x14ac:dyDescent="0.25">
      <c r="A120" s="823"/>
    </row>
    <row r="121" spans="1:1" s="824" customFormat="1" x14ac:dyDescent="0.25">
      <c r="A121" s="823"/>
    </row>
    <row r="122" spans="1:1" s="824" customFormat="1" x14ac:dyDescent="0.25">
      <c r="A122" s="823"/>
    </row>
    <row r="123" spans="1:1" s="824" customFormat="1" x14ac:dyDescent="0.25">
      <c r="A123" s="823"/>
    </row>
    <row r="124" spans="1:1" s="824" customFormat="1" x14ac:dyDescent="0.25">
      <c r="A124" s="823"/>
    </row>
    <row r="125" spans="1:1" s="824" customFormat="1" x14ac:dyDescent="0.25">
      <c r="A125" s="823"/>
    </row>
    <row r="126" spans="1:1" s="824" customFormat="1" x14ac:dyDescent="0.25">
      <c r="A126" s="823"/>
    </row>
    <row r="127" spans="1:1" s="824" customFormat="1" x14ac:dyDescent="0.25">
      <c r="A127" s="823"/>
    </row>
    <row r="128" spans="1:1" s="824" customFormat="1" x14ac:dyDescent="0.25">
      <c r="A128" s="823"/>
    </row>
    <row r="129" spans="1:1" s="824" customFormat="1" x14ac:dyDescent="0.25">
      <c r="A129" s="823"/>
    </row>
    <row r="130" spans="1:1" s="824" customFormat="1" x14ac:dyDescent="0.25">
      <c r="A130" s="823"/>
    </row>
    <row r="131" spans="1:1" s="824" customFormat="1" x14ac:dyDescent="0.25">
      <c r="A131" s="823"/>
    </row>
    <row r="132" spans="1:1" s="824" customFormat="1" x14ac:dyDescent="0.25">
      <c r="A132" s="823"/>
    </row>
    <row r="133" spans="1:1" s="824" customFormat="1" x14ac:dyDescent="0.25">
      <c r="A133" s="823"/>
    </row>
    <row r="134" spans="1:1" s="824" customFormat="1" x14ac:dyDescent="0.25">
      <c r="A134" s="823"/>
    </row>
    <row r="135" spans="1:1" s="824" customFormat="1" x14ac:dyDescent="0.25">
      <c r="A135" s="823"/>
    </row>
    <row r="136" spans="1:1" s="824" customFormat="1" x14ac:dyDescent="0.25">
      <c r="A136" s="823"/>
    </row>
    <row r="137" spans="1:1" s="824" customFormat="1" x14ac:dyDescent="0.25">
      <c r="A137" s="823"/>
    </row>
    <row r="138" spans="1:1" s="824" customFormat="1" x14ac:dyDescent="0.25">
      <c r="A138" s="823"/>
    </row>
    <row r="139" spans="1:1" s="824" customFormat="1" x14ac:dyDescent="0.25">
      <c r="A139" s="823"/>
    </row>
    <row r="140" spans="1:1" s="824" customFormat="1" x14ac:dyDescent="0.25">
      <c r="A140" s="823"/>
    </row>
    <row r="141" spans="1:1" s="824" customFormat="1" x14ac:dyDescent="0.25">
      <c r="A141" s="823"/>
    </row>
    <row r="142" spans="1:1" s="824" customFormat="1" x14ac:dyDescent="0.25">
      <c r="A142" s="823"/>
    </row>
    <row r="143" spans="1:1" s="824" customFormat="1" x14ac:dyDescent="0.25">
      <c r="A143" s="823"/>
    </row>
    <row r="144" spans="1:1" s="824" customFormat="1" x14ac:dyDescent="0.25">
      <c r="A144" s="823"/>
    </row>
    <row r="145" spans="1:1" s="824" customFormat="1" x14ac:dyDescent="0.25">
      <c r="A145" s="823"/>
    </row>
    <row r="146" spans="1:1" s="824" customFormat="1" x14ac:dyDescent="0.25">
      <c r="A146" s="823"/>
    </row>
    <row r="147" spans="1:1" s="824" customFormat="1" x14ac:dyDescent="0.25">
      <c r="A147" s="823"/>
    </row>
    <row r="148" spans="1:1" s="824" customFormat="1" x14ac:dyDescent="0.25">
      <c r="A148" s="823"/>
    </row>
    <row r="149" spans="1:1" s="824" customFormat="1" x14ac:dyDescent="0.25">
      <c r="A149" s="823"/>
    </row>
    <row r="150" spans="1:1" s="824" customFormat="1" x14ac:dyDescent="0.25">
      <c r="A150" s="823"/>
    </row>
    <row r="151" spans="1:1" s="824" customFormat="1" x14ac:dyDescent="0.25">
      <c r="A151" s="823"/>
    </row>
    <row r="152" spans="1:1" s="824" customFormat="1" x14ac:dyDescent="0.25">
      <c r="A152" s="823"/>
    </row>
    <row r="153" spans="1:1" s="824" customFormat="1" x14ac:dyDescent="0.25">
      <c r="A153" s="823"/>
    </row>
    <row r="154" spans="1:1" s="824" customFormat="1" x14ac:dyDescent="0.25">
      <c r="A154" s="823"/>
    </row>
    <row r="155" spans="1:1" s="824" customFormat="1" x14ac:dyDescent="0.25">
      <c r="A155" s="823"/>
    </row>
    <row r="156" spans="1:1" s="824" customFormat="1" x14ac:dyDescent="0.25">
      <c r="A156" s="823"/>
    </row>
    <row r="157" spans="1:1" s="824" customFormat="1" x14ac:dyDescent="0.25">
      <c r="A157" s="823"/>
    </row>
    <row r="158" spans="1:1" s="824" customFormat="1" x14ac:dyDescent="0.25">
      <c r="A158" s="823"/>
    </row>
    <row r="159" spans="1:1" s="824" customFormat="1" x14ac:dyDescent="0.25">
      <c r="A159" s="823"/>
    </row>
    <row r="160" spans="1:1" s="824" customFormat="1" x14ac:dyDescent="0.25">
      <c r="A160" s="823"/>
    </row>
    <row r="161" spans="1:1" s="824" customFormat="1" x14ac:dyDescent="0.25">
      <c r="A161" s="823"/>
    </row>
    <row r="162" spans="1:1" s="824" customFormat="1" x14ac:dyDescent="0.25">
      <c r="A162" s="823"/>
    </row>
    <row r="163" spans="1:1" s="824" customFormat="1" x14ac:dyDescent="0.25">
      <c r="A163" s="823"/>
    </row>
    <row r="164" spans="1:1" s="824" customFormat="1" x14ac:dyDescent="0.25">
      <c r="A164" s="823"/>
    </row>
    <row r="165" spans="1:1" s="824" customFormat="1" x14ac:dyDescent="0.25">
      <c r="A165" s="823"/>
    </row>
    <row r="166" spans="1:1" s="824" customFormat="1" x14ac:dyDescent="0.25">
      <c r="A166" s="823"/>
    </row>
    <row r="167" spans="1:1" s="824" customFormat="1" x14ac:dyDescent="0.25">
      <c r="A167" s="823"/>
    </row>
    <row r="168" spans="1:1" s="824" customFormat="1" x14ac:dyDescent="0.25">
      <c r="A168" s="823"/>
    </row>
    <row r="169" spans="1:1" s="824" customFormat="1" x14ac:dyDescent="0.25">
      <c r="A169" s="823"/>
    </row>
    <row r="170" spans="1:1" s="824" customFormat="1" x14ac:dyDescent="0.25">
      <c r="A170" s="823"/>
    </row>
    <row r="171" spans="1:1" s="824" customFormat="1" x14ac:dyDescent="0.25">
      <c r="A171" s="823"/>
    </row>
    <row r="172" spans="1:1" s="824" customFormat="1" x14ac:dyDescent="0.25">
      <c r="A172" s="823"/>
    </row>
    <row r="173" spans="1:1" s="824" customFormat="1" x14ac:dyDescent="0.25">
      <c r="A173" s="823"/>
    </row>
    <row r="174" spans="1:1" s="824" customFormat="1" x14ac:dyDescent="0.25">
      <c r="A174" s="823"/>
    </row>
    <row r="175" spans="1:1" s="824" customFormat="1" x14ac:dyDescent="0.25">
      <c r="A175" s="823"/>
    </row>
    <row r="176" spans="1:1" s="824" customFormat="1" x14ac:dyDescent="0.25">
      <c r="A176" s="823"/>
    </row>
    <row r="177" spans="1:1" s="824" customFormat="1" x14ac:dyDescent="0.25">
      <c r="A177" s="823"/>
    </row>
    <row r="178" spans="1:1" s="824" customFormat="1" x14ac:dyDescent="0.25">
      <c r="A178" s="823"/>
    </row>
    <row r="179" spans="1:1" s="824" customFormat="1" x14ac:dyDescent="0.25">
      <c r="A179" s="823"/>
    </row>
    <row r="180" spans="1:1" s="824" customFormat="1" x14ac:dyDescent="0.25">
      <c r="A180" s="823"/>
    </row>
    <row r="181" spans="1:1" s="824" customFormat="1" x14ac:dyDescent="0.25">
      <c r="A181" s="823"/>
    </row>
    <row r="182" spans="1:1" s="824" customFormat="1" x14ac:dyDescent="0.25">
      <c r="A182" s="823"/>
    </row>
    <row r="183" spans="1:1" s="824" customFormat="1" x14ac:dyDescent="0.25">
      <c r="A183" s="823"/>
    </row>
    <row r="184" spans="1:1" s="824" customFormat="1" x14ac:dyDescent="0.25">
      <c r="A184" s="823"/>
    </row>
    <row r="185" spans="1:1" s="824" customFormat="1" x14ac:dyDescent="0.25">
      <c r="A185" s="823"/>
    </row>
    <row r="186" spans="1:1" s="824" customFormat="1" x14ac:dyDescent="0.25">
      <c r="A186" s="823"/>
    </row>
    <row r="187" spans="1:1" s="824" customFormat="1" x14ac:dyDescent="0.25">
      <c r="A187" s="823"/>
    </row>
    <row r="188" spans="1:1" s="824" customFormat="1" x14ac:dyDescent="0.25">
      <c r="A188" s="823"/>
    </row>
    <row r="189" spans="1:1" s="824" customFormat="1" x14ac:dyDescent="0.25">
      <c r="A189" s="823"/>
    </row>
    <row r="190" spans="1:1" s="824" customFormat="1" x14ac:dyDescent="0.25">
      <c r="A190" s="823"/>
    </row>
    <row r="191" spans="1:1" s="824" customFormat="1" x14ac:dyDescent="0.25">
      <c r="A191" s="823"/>
    </row>
    <row r="192" spans="1:1" s="824" customFormat="1" x14ac:dyDescent="0.25">
      <c r="A192" s="823"/>
    </row>
    <row r="193" spans="1:1" s="824" customFormat="1" x14ac:dyDescent="0.25">
      <c r="A193" s="823"/>
    </row>
    <row r="194" spans="1:1" s="824" customFormat="1" x14ac:dyDescent="0.25">
      <c r="A194" s="823"/>
    </row>
    <row r="195" spans="1:1" s="824" customFormat="1" x14ac:dyDescent="0.25">
      <c r="A195" s="823"/>
    </row>
    <row r="196" spans="1:1" s="824" customFormat="1" x14ac:dyDescent="0.25">
      <c r="A196" s="823"/>
    </row>
    <row r="197" spans="1:1" s="824" customFormat="1" x14ac:dyDescent="0.25">
      <c r="A197" s="823"/>
    </row>
    <row r="198" spans="1:1" s="824" customFormat="1" x14ac:dyDescent="0.25">
      <c r="A198" s="823"/>
    </row>
    <row r="199" spans="1:1" s="824" customFormat="1" x14ac:dyDescent="0.25">
      <c r="A199" s="823"/>
    </row>
    <row r="200" spans="1:1" s="824" customFormat="1" x14ac:dyDescent="0.25">
      <c r="A200" s="823"/>
    </row>
    <row r="201" spans="1:1" s="824" customFormat="1" x14ac:dyDescent="0.25">
      <c r="A201" s="823"/>
    </row>
    <row r="202" spans="1:1" s="824" customFormat="1" x14ac:dyDescent="0.25">
      <c r="A202" s="823"/>
    </row>
    <row r="203" spans="1:1" s="824" customFormat="1" x14ac:dyDescent="0.25">
      <c r="A203" s="823"/>
    </row>
    <row r="204" spans="1:1" s="824" customFormat="1" x14ac:dyDescent="0.25">
      <c r="A204" s="823"/>
    </row>
    <row r="205" spans="1:1" s="824" customFormat="1" x14ac:dyDescent="0.25">
      <c r="A205" s="823"/>
    </row>
    <row r="206" spans="1:1" s="824" customFormat="1" x14ac:dyDescent="0.25">
      <c r="A206" s="823"/>
    </row>
    <row r="207" spans="1:1" s="824" customFormat="1" x14ac:dyDescent="0.25">
      <c r="A207" s="823"/>
    </row>
    <row r="208" spans="1:1" s="824" customFormat="1" x14ac:dyDescent="0.25">
      <c r="A208" s="823"/>
    </row>
    <row r="209" spans="1:1" s="824" customFormat="1" x14ac:dyDescent="0.25">
      <c r="A209" s="823"/>
    </row>
    <row r="210" spans="1:1" s="824" customFormat="1" x14ac:dyDescent="0.25">
      <c r="A210" s="823"/>
    </row>
    <row r="211" spans="1:1" s="824" customFormat="1" x14ac:dyDescent="0.25">
      <c r="A211" s="823"/>
    </row>
    <row r="212" spans="1:1" s="824" customFormat="1" x14ac:dyDescent="0.25">
      <c r="A212" s="823"/>
    </row>
    <row r="213" spans="1:1" s="824" customFormat="1" x14ac:dyDescent="0.25">
      <c r="A213" s="823"/>
    </row>
    <row r="214" spans="1:1" s="824" customFormat="1" x14ac:dyDescent="0.25">
      <c r="A214" s="823"/>
    </row>
    <row r="215" spans="1:1" s="824" customFormat="1" x14ac:dyDescent="0.25">
      <c r="A215" s="823"/>
    </row>
    <row r="216" spans="1:1" s="824" customFormat="1" x14ac:dyDescent="0.25">
      <c r="A216" s="823"/>
    </row>
    <row r="217" spans="1:1" s="824" customFormat="1" x14ac:dyDescent="0.25">
      <c r="A217" s="823"/>
    </row>
    <row r="218" spans="1:1" s="824" customFormat="1" x14ac:dyDescent="0.25">
      <c r="A218" s="823"/>
    </row>
    <row r="219" spans="1:1" s="824" customFormat="1" x14ac:dyDescent="0.25">
      <c r="A219" s="823"/>
    </row>
    <row r="220" spans="1:1" s="824" customFormat="1" x14ac:dyDescent="0.25">
      <c r="A220" s="823"/>
    </row>
    <row r="221" spans="1:1" s="824" customFormat="1" x14ac:dyDescent="0.25">
      <c r="A221" s="823"/>
    </row>
    <row r="222" spans="1:1" s="824" customFormat="1" x14ac:dyDescent="0.25">
      <c r="A222" s="823"/>
    </row>
    <row r="223" spans="1:1" s="824" customFormat="1" x14ac:dyDescent="0.25">
      <c r="A223" s="823"/>
    </row>
    <row r="224" spans="1:1" s="824" customFormat="1" x14ac:dyDescent="0.25">
      <c r="A224" s="823"/>
    </row>
    <row r="225" spans="1:1" s="824" customFormat="1" x14ac:dyDescent="0.25">
      <c r="A225" s="823"/>
    </row>
    <row r="226" spans="1:1" s="824" customFormat="1" x14ac:dyDescent="0.25">
      <c r="A226" s="823"/>
    </row>
    <row r="227" spans="1:1" s="824" customFormat="1" x14ac:dyDescent="0.25">
      <c r="A227" s="823"/>
    </row>
    <row r="228" spans="1:1" s="824" customFormat="1" x14ac:dyDescent="0.25">
      <c r="A228" s="823"/>
    </row>
    <row r="229" spans="1:1" s="824" customFormat="1" x14ac:dyDescent="0.25">
      <c r="A229" s="823"/>
    </row>
    <row r="230" spans="1:1" s="824" customFormat="1" x14ac:dyDescent="0.25">
      <c r="A230" s="823"/>
    </row>
    <row r="231" spans="1:1" s="824" customFormat="1" x14ac:dyDescent="0.25">
      <c r="A231" s="823"/>
    </row>
    <row r="232" spans="1:1" s="824" customFormat="1" x14ac:dyDescent="0.25">
      <c r="A232" s="823"/>
    </row>
    <row r="233" spans="1:1" s="824" customFormat="1" x14ac:dyDescent="0.25">
      <c r="A233" s="823"/>
    </row>
    <row r="234" spans="1:1" s="824" customFormat="1" x14ac:dyDescent="0.25">
      <c r="A234" s="823"/>
    </row>
    <row r="235" spans="1:1" s="824" customFormat="1" x14ac:dyDescent="0.25">
      <c r="A235" s="823"/>
    </row>
    <row r="236" spans="1:1" s="824" customFormat="1" x14ac:dyDescent="0.25">
      <c r="A236" s="823"/>
    </row>
    <row r="237" spans="1:1" s="824" customFormat="1" x14ac:dyDescent="0.25">
      <c r="A237" s="823"/>
    </row>
    <row r="238" spans="1:1" s="824" customFormat="1" x14ac:dyDescent="0.25">
      <c r="A238" s="823"/>
    </row>
    <row r="239" spans="1:1" s="824" customFormat="1" x14ac:dyDescent="0.25">
      <c r="A239" s="823"/>
    </row>
    <row r="240" spans="1:1" s="824" customFormat="1" x14ac:dyDescent="0.25">
      <c r="A240" s="823"/>
    </row>
    <row r="241" spans="1:1" s="824" customFormat="1" x14ac:dyDescent="0.25">
      <c r="A241" s="823"/>
    </row>
    <row r="242" spans="1:1" s="824" customFormat="1" x14ac:dyDescent="0.25">
      <c r="A242" s="823"/>
    </row>
    <row r="243" spans="1:1" s="824" customFormat="1" x14ac:dyDescent="0.25">
      <c r="A243" s="823"/>
    </row>
    <row r="244" spans="1:1" s="824" customFormat="1" x14ac:dyDescent="0.25">
      <c r="A244" s="823"/>
    </row>
    <row r="245" spans="1:1" s="824" customFormat="1" x14ac:dyDescent="0.25">
      <c r="A245" s="823"/>
    </row>
    <row r="246" spans="1:1" s="824" customFormat="1" x14ac:dyDescent="0.25">
      <c r="A246" s="823"/>
    </row>
    <row r="247" spans="1:1" s="824" customFormat="1" x14ac:dyDescent="0.25">
      <c r="A247" s="823"/>
    </row>
    <row r="248" spans="1:1" s="824" customFormat="1" x14ac:dyDescent="0.25">
      <c r="A248" s="823"/>
    </row>
    <row r="249" spans="1:1" s="824" customFormat="1" x14ac:dyDescent="0.25">
      <c r="A249" s="823"/>
    </row>
    <row r="250" spans="1:1" s="824" customFormat="1" x14ac:dyDescent="0.25">
      <c r="A250" s="823"/>
    </row>
    <row r="251" spans="1:1" s="824" customFormat="1" x14ac:dyDescent="0.25">
      <c r="A251" s="823"/>
    </row>
    <row r="252" spans="1:1" s="824" customFormat="1" x14ac:dyDescent="0.25">
      <c r="A252" s="823"/>
    </row>
    <row r="253" spans="1:1" s="824" customFormat="1" x14ac:dyDescent="0.25">
      <c r="A253" s="823"/>
    </row>
    <row r="254" spans="1:1" s="824" customFormat="1" x14ac:dyDescent="0.25">
      <c r="A254" s="823"/>
    </row>
    <row r="255" spans="1:1" s="824" customFormat="1" x14ac:dyDescent="0.25">
      <c r="A255" s="823"/>
    </row>
    <row r="256" spans="1:1" s="824" customFormat="1" x14ac:dyDescent="0.25">
      <c r="A256" s="823"/>
    </row>
    <row r="257" spans="1:1" s="824" customFormat="1" x14ac:dyDescent="0.25">
      <c r="A257" s="823"/>
    </row>
    <row r="258" spans="1:1" s="824" customFormat="1" x14ac:dyDescent="0.25">
      <c r="A258" s="823"/>
    </row>
    <row r="259" spans="1:1" s="824" customFormat="1" x14ac:dyDescent="0.25">
      <c r="A259" s="823"/>
    </row>
    <row r="260" spans="1:1" s="824" customFormat="1" x14ac:dyDescent="0.25">
      <c r="A260" s="823"/>
    </row>
    <row r="261" spans="1:1" s="824" customFormat="1" x14ac:dyDescent="0.25">
      <c r="A261" s="823"/>
    </row>
    <row r="262" spans="1:1" s="824" customFormat="1" x14ac:dyDescent="0.25">
      <c r="A262" s="823"/>
    </row>
    <row r="263" spans="1:1" s="824" customFormat="1" x14ac:dyDescent="0.25">
      <c r="A263" s="823"/>
    </row>
    <row r="264" spans="1:1" s="824" customFormat="1" x14ac:dyDescent="0.25">
      <c r="A264" s="823"/>
    </row>
    <row r="265" spans="1:1" s="824" customFormat="1" x14ac:dyDescent="0.25">
      <c r="A265" s="823"/>
    </row>
    <row r="266" spans="1:1" s="824" customFormat="1" x14ac:dyDescent="0.25">
      <c r="A266" s="823"/>
    </row>
    <row r="267" spans="1:1" s="824" customFormat="1" x14ac:dyDescent="0.25">
      <c r="A267" s="823"/>
    </row>
    <row r="268" spans="1:1" s="824" customFormat="1" x14ac:dyDescent="0.25">
      <c r="A268" s="823"/>
    </row>
    <row r="269" spans="1:1" s="824" customFormat="1" x14ac:dyDescent="0.25">
      <c r="A269" s="823"/>
    </row>
    <row r="270" spans="1:1" s="824" customFormat="1" x14ac:dyDescent="0.25">
      <c r="A270" s="823"/>
    </row>
    <row r="271" spans="1:1" s="824" customFormat="1" x14ac:dyDescent="0.25">
      <c r="A271" s="823"/>
    </row>
    <row r="272" spans="1:1" s="824" customFormat="1" x14ac:dyDescent="0.25">
      <c r="A272" s="823"/>
    </row>
    <row r="273" spans="1:1" s="824" customFormat="1" x14ac:dyDescent="0.25">
      <c r="A273" s="823"/>
    </row>
    <row r="274" spans="1:1" s="824" customFormat="1" x14ac:dyDescent="0.25">
      <c r="A274" s="823"/>
    </row>
    <row r="275" spans="1:1" s="824" customFormat="1" x14ac:dyDescent="0.25">
      <c r="A275" s="823"/>
    </row>
    <row r="276" spans="1:1" s="824" customFormat="1" x14ac:dyDescent="0.25">
      <c r="A276" s="823"/>
    </row>
    <row r="277" spans="1:1" s="824" customFormat="1" x14ac:dyDescent="0.25">
      <c r="A277" s="823"/>
    </row>
    <row r="278" spans="1:1" s="824" customFormat="1" x14ac:dyDescent="0.25">
      <c r="A278" s="823"/>
    </row>
    <row r="279" spans="1:1" s="824" customFormat="1" x14ac:dyDescent="0.25">
      <c r="A279" s="823"/>
    </row>
    <row r="280" spans="1:1" s="824" customFormat="1" x14ac:dyDescent="0.25">
      <c r="A280" s="823"/>
    </row>
    <row r="281" spans="1:1" s="824" customFormat="1" x14ac:dyDescent="0.25">
      <c r="A281" s="823"/>
    </row>
    <row r="282" spans="1:1" s="824" customFormat="1" x14ac:dyDescent="0.25">
      <c r="A282" s="823"/>
    </row>
    <row r="283" spans="1:1" s="824" customFormat="1" x14ac:dyDescent="0.25">
      <c r="A283" s="823"/>
    </row>
    <row r="284" spans="1:1" s="824" customFormat="1" x14ac:dyDescent="0.25">
      <c r="A284" s="823"/>
    </row>
    <row r="285" spans="1:1" s="824" customFormat="1" x14ac:dyDescent="0.25">
      <c r="A285" s="823"/>
    </row>
    <row r="286" spans="1:1" s="824" customFormat="1" x14ac:dyDescent="0.25">
      <c r="A286" s="823"/>
    </row>
    <row r="287" spans="1:1" s="824" customFormat="1" x14ac:dyDescent="0.25">
      <c r="A287" s="823"/>
    </row>
    <row r="288" spans="1:1" s="824" customFormat="1" x14ac:dyDescent="0.25">
      <c r="A288" s="823"/>
    </row>
    <row r="289" spans="1:1" s="824" customFormat="1" x14ac:dyDescent="0.25">
      <c r="A289" s="823"/>
    </row>
    <row r="290" spans="1:1" s="824" customFormat="1" x14ac:dyDescent="0.25">
      <c r="A290" s="823"/>
    </row>
    <row r="291" spans="1:1" s="824" customFormat="1" x14ac:dyDescent="0.25">
      <c r="A291" s="823"/>
    </row>
    <row r="292" spans="1:1" s="824" customFormat="1" x14ac:dyDescent="0.25">
      <c r="A292" s="823"/>
    </row>
    <row r="293" spans="1:1" s="824" customFormat="1" x14ac:dyDescent="0.25">
      <c r="A293" s="823"/>
    </row>
    <row r="294" spans="1:1" s="824" customFormat="1" x14ac:dyDescent="0.25">
      <c r="A294" s="823"/>
    </row>
    <row r="295" spans="1:1" s="824" customFormat="1" x14ac:dyDescent="0.25">
      <c r="A295" s="823"/>
    </row>
    <row r="296" spans="1:1" s="824" customFormat="1" x14ac:dyDescent="0.25">
      <c r="A296" s="823"/>
    </row>
    <row r="297" spans="1:1" s="824" customFormat="1" x14ac:dyDescent="0.25">
      <c r="A297" s="823"/>
    </row>
    <row r="298" spans="1:1" s="824" customFormat="1" x14ac:dyDescent="0.25">
      <c r="A298" s="823"/>
    </row>
    <row r="299" spans="1:1" s="824" customFormat="1" x14ac:dyDescent="0.25">
      <c r="A299" s="823"/>
    </row>
    <row r="300" spans="1:1" s="824" customFormat="1" x14ac:dyDescent="0.25">
      <c r="A300" s="823"/>
    </row>
    <row r="301" spans="1:1" s="824" customFormat="1" x14ac:dyDescent="0.25">
      <c r="A301" s="823"/>
    </row>
    <row r="302" spans="1:1" s="824" customFormat="1" x14ac:dyDescent="0.25">
      <c r="A302" s="823"/>
    </row>
    <row r="303" spans="1:1" s="824" customFormat="1" x14ac:dyDescent="0.25">
      <c r="A303" s="823"/>
    </row>
    <row r="304" spans="1:1" s="824" customFormat="1" x14ac:dyDescent="0.25">
      <c r="A304" s="823"/>
    </row>
    <row r="305" spans="1:1" s="824" customFormat="1" x14ac:dyDescent="0.25">
      <c r="A305" s="823"/>
    </row>
    <row r="306" spans="1:1" s="824" customFormat="1" x14ac:dyDescent="0.25">
      <c r="A306" s="823"/>
    </row>
    <row r="307" spans="1:1" s="824" customFormat="1" x14ac:dyDescent="0.25">
      <c r="A307" s="823"/>
    </row>
    <row r="308" spans="1:1" s="824" customFormat="1" x14ac:dyDescent="0.25">
      <c r="A308" s="823"/>
    </row>
    <row r="309" spans="1:1" s="824" customFormat="1" x14ac:dyDescent="0.25">
      <c r="A309" s="823"/>
    </row>
    <row r="310" spans="1:1" s="824" customFormat="1" x14ac:dyDescent="0.25">
      <c r="A310" s="823"/>
    </row>
    <row r="311" spans="1:1" s="824" customFormat="1" x14ac:dyDescent="0.25">
      <c r="A311" s="823"/>
    </row>
    <row r="312" spans="1:1" s="824" customFormat="1" x14ac:dyDescent="0.25">
      <c r="A312" s="823"/>
    </row>
    <row r="313" spans="1:1" s="824" customFormat="1" x14ac:dyDescent="0.25">
      <c r="A313" s="823"/>
    </row>
    <row r="314" spans="1:1" s="824" customFormat="1" x14ac:dyDescent="0.25">
      <c r="A314" s="823"/>
    </row>
    <row r="315" spans="1:1" s="824" customFormat="1" x14ac:dyDescent="0.25">
      <c r="A315" s="823"/>
    </row>
    <row r="316" spans="1:1" s="824" customFormat="1" x14ac:dyDescent="0.25">
      <c r="A316" s="823"/>
    </row>
    <row r="317" spans="1:1" s="824" customFormat="1" x14ac:dyDescent="0.25">
      <c r="A317" s="823"/>
    </row>
    <row r="318" spans="1:1" s="824" customFormat="1" x14ac:dyDescent="0.25">
      <c r="A318" s="823"/>
    </row>
    <row r="319" spans="1:1" s="824" customFormat="1" x14ac:dyDescent="0.25">
      <c r="A319" s="823"/>
    </row>
    <row r="320" spans="1:1" s="824" customFormat="1" x14ac:dyDescent="0.25">
      <c r="A320" s="823"/>
    </row>
    <row r="321" spans="1:1" s="824" customFormat="1" x14ac:dyDescent="0.25">
      <c r="A321" s="823"/>
    </row>
    <row r="322" spans="1:1" s="824" customFormat="1" x14ac:dyDescent="0.25">
      <c r="A322" s="823"/>
    </row>
    <row r="323" spans="1:1" s="824" customFormat="1" x14ac:dyDescent="0.25">
      <c r="A323" s="823"/>
    </row>
    <row r="324" spans="1:1" s="824" customFormat="1" x14ac:dyDescent="0.25">
      <c r="A324" s="823"/>
    </row>
    <row r="325" spans="1:1" s="824" customFormat="1" x14ac:dyDescent="0.25">
      <c r="A325" s="823"/>
    </row>
    <row r="326" spans="1:1" s="824" customFormat="1" x14ac:dyDescent="0.25">
      <c r="A326" s="823"/>
    </row>
    <row r="327" spans="1:1" s="824" customFormat="1" x14ac:dyDescent="0.25">
      <c r="A327" s="823"/>
    </row>
    <row r="328" spans="1:1" s="824" customFormat="1" x14ac:dyDescent="0.25">
      <c r="A328" s="823"/>
    </row>
    <row r="329" spans="1:1" s="824" customFormat="1" x14ac:dyDescent="0.25">
      <c r="A329" s="823"/>
    </row>
    <row r="330" spans="1:1" s="824" customFormat="1" x14ac:dyDescent="0.25">
      <c r="A330" s="823"/>
    </row>
    <row r="331" spans="1:1" s="824" customFormat="1" x14ac:dyDescent="0.25">
      <c r="A331" s="823"/>
    </row>
    <row r="332" spans="1:1" s="824" customFormat="1" x14ac:dyDescent="0.25">
      <c r="A332" s="823"/>
    </row>
    <row r="333" spans="1:1" s="824" customFormat="1" x14ac:dyDescent="0.25">
      <c r="A333" s="823"/>
    </row>
    <row r="334" spans="1:1" s="824" customFormat="1" x14ac:dyDescent="0.25">
      <c r="A334" s="823"/>
    </row>
    <row r="335" spans="1:1" s="824" customFormat="1" x14ac:dyDescent="0.25">
      <c r="A335" s="823"/>
    </row>
    <row r="336" spans="1:1" s="824" customFormat="1" x14ac:dyDescent="0.25">
      <c r="A336" s="823"/>
    </row>
    <row r="337" spans="1:1" s="824" customFormat="1" x14ac:dyDescent="0.25">
      <c r="A337" s="823"/>
    </row>
    <row r="338" spans="1:1" s="824" customFormat="1" x14ac:dyDescent="0.25">
      <c r="A338" s="823"/>
    </row>
    <row r="339" spans="1:1" s="824" customFormat="1" x14ac:dyDescent="0.25">
      <c r="A339" s="823"/>
    </row>
    <row r="340" spans="1:1" s="824" customFormat="1" x14ac:dyDescent="0.25">
      <c r="A340" s="823"/>
    </row>
    <row r="341" spans="1:1" s="824" customFormat="1" x14ac:dyDescent="0.25">
      <c r="A341" s="823"/>
    </row>
    <row r="342" spans="1:1" s="824" customFormat="1" x14ac:dyDescent="0.25">
      <c r="A342" s="823"/>
    </row>
    <row r="343" spans="1:1" s="824" customFormat="1" x14ac:dyDescent="0.25">
      <c r="A343" s="823"/>
    </row>
    <row r="344" spans="1:1" s="824" customFormat="1" x14ac:dyDescent="0.25">
      <c r="A344" s="823"/>
    </row>
    <row r="345" spans="1:1" s="824" customFormat="1" x14ac:dyDescent="0.25">
      <c r="A345" s="823"/>
    </row>
    <row r="346" spans="1:1" s="824" customFormat="1" x14ac:dyDescent="0.25">
      <c r="A346" s="823"/>
    </row>
    <row r="347" spans="1:1" s="824" customFormat="1" x14ac:dyDescent="0.25">
      <c r="A347" s="823"/>
    </row>
    <row r="348" spans="1:1" s="824" customFormat="1" x14ac:dyDescent="0.25">
      <c r="A348" s="823"/>
    </row>
    <row r="349" spans="1:1" s="824" customFormat="1" x14ac:dyDescent="0.25">
      <c r="A349" s="823"/>
    </row>
    <row r="350" spans="1:1" s="824" customFormat="1" x14ac:dyDescent="0.25">
      <c r="A350" s="823"/>
    </row>
    <row r="351" spans="1:1" s="824" customFormat="1" x14ac:dyDescent="0.25">
      <c r="A351" s="823"/>
    </row>
    <row r="352" spans="1:1" s="824" customFormat="1" x14ac:dyDescent="0.25">
      <c r="A352" s="823"/>
    </row>
    <row r="353" spans="1:1" s="824" customFormat="1" x14ac:dyDescent="0.25">
      <c r="A353" s="823"/>
    </row>
    <row r="354" spans="1:1" s="824" customFormat="1" x14ac:dyDescent="0.25">
      <c r="A354" s="823"/>
    </row>
    <row r="355" spans="1:1" s="824" customFormat="1" x14ac:dyDescent="0.25">
      <c r="A355" s="823"/>
    </row>
    <row r="356" spans="1:1" s="824" customFormat="1" x14ac:dyDescent="0.25">
      <c r="A356" s="823"/>
    </row>
    <row r="357" spans="1:1" s="824" customFormat="1" x14ac:dyDescent="0.25">
      <c r="A357" s="823"/>
    </row>
    <row r="358" spans="1:1" s="824" customFormat="1" x14ac:dyDescent="0.25">
      <c r="A358" s="823"/>
    </row>
    <row r="359" spans="1:1" s="824" customFormat="1" x14ac:dyDescent="0.25">
      <c r="A359" s="823"/>
    </row>
    <row r="360" spans="1:1" s="824" customFormat="1" x14ac:dyDescent="0.25">
      <c r="A360" s="823"/>
    </row>
    <row r="361" spans="1:1" s="824" customFormat="1" x14ac:dyDescent="0.25">
      <c r="A361" s="823"/>
    </row>
    <row r="362" spans="1:1" s="824" customFormat="1" x14ac:dyDescent="0.25">
      <c r="A362" s="823"/>
    </row>
    <row r="363" spans="1:1" s="824" customFormat="1" x14ac:dyDescent="0.25">
      <c r="A363" s="823"/>
    </row>
    <row r="364" spans="1:1" s="824" customFormat="1" x14ac:dyDescent="0.25">
      <c r="A364" s="823"/>
    </row>
    <row r="365" spans="1:1" s="824" customFormat="1" x14ac:dyDescent="0.25">
      <c r="A365" s="823"/>
    </row>
    <row r="366" spans="1:1" s="824" customFormat="1" x14ac:dyDescent="0.25">
      <c r="A366" s="823"/>
    </row>
    <row r="367" spans="1:1" s="824" customFormat="1" x14ac:dyDescent="0.25">
      <c r="A367" s="823"/>
    </row>
    <row r="368" spans="1:1" s="824" customFormat="1" x14ac:dyDescent="0.25">
      <c r="A368" s="823"/>
    </row>
    <row r="369" spans="1:1" s="824" customFormat="1" x14ac:dyDescent="0.25">
      <c r="A369" s="823"/>
    </row>
    <row r="370" spans="1:1" s="824" customFormat="1" x14ac:dyDescent="0.25">
      <c r="A370" s="823"/>
    </row>
    <row r="371" spans="1:1" s="824" customFormat="1" x14ac:dyDescent="0.25">
      <c r="A371" s="823"/>
    </row>
    <row r="372" spans="1:1" s="824" customFormat="1" x14ac:dyDescent="0.25">
      <c r="A372" s="823"/>
    </row>
    <row r="373" spans="1:1" s="824" customFormat="1" x14ac:dyDescent="0.25">
      <c r="A373" s="823"/>
    </row>
    <row r="374" spans="1:1" s="824" customFormat="1" x14ac:dyDescent="0.25">
      <c r="A374" s="823"/>
    </row>
    <row r="375" spans="1:1" s="824" customFormat="1" x14ac:dyDescent="0.25">
      <c r="A375" s="823"/>
    </row>
    <row r="376" spans="1:1" s="824" customFormat="1" x14ac:dyDescent="0.25">
      <c r="A376" s="823"/>
    </row>
    <row r="377" spans="1:1" s="824" customFormat="1" x14ac:dyDescent="0.25">
      <c r="A377" s="823"/>
    </row>
    <row r="378" spans="1:1" s="824" customFormat="1" x14ac:dyDescent="0.25">
      <c r="A378" s="823"/>
    </row>
    <row r="379" spans="1:1" s="824" customFormat="1" x14ac:dyDescent="0.25">
      <c r="A379" s="823"/>
    </row>
    <row r="380" spans="1:1" s="824" customFormat="1" x14ac:dyDescent="0.25">
      <c r="A380" s="823"/>
    </row>
    <row r="381" spans="1:1" s="824" customFormat="1" x14ac:dyDescent="0.25">
      <c r="A381" s="823"/>
    </row>
    <row r="382" spans="1:1" s="824" customFormat="1" x14ac:dyDescent="0.25">
      <c r="A382" s="823"/>
    </row>
    <row r="383" spans="1:1" s="824" customFormat="1" x14ac:dyDescent="0.25">
      <c r="A383" s="823"/>
    </row>
    <row r="384" spans="1:1" s="824" customFormat="1" x14ac:dyDescent="0.25">
      <c r="A384" s="823"/>
    </row>
    <row r="385" spans="1:1" s="824" customFormat="1" x14ac:dyDescent="0.25">
      <c r="A385" s="823"/>
    </row>
    <row r="386" spans="1:1" s="824" customFormat="1" x14ac:dyDescent="0.25">
      <c r="A386" s="823"/>
    </row>
    <row r="387" spans="1:1" s="824" customFormat="1" x14ac:dyDescent="0.25">
      <c r="A387" s="823"/>
    </row>
    <row r="388" spans="1:1" s="824" customFormat="1" x14ac:dyDescent="0.25">
      <c r="A388" s="823"/>
    </row>
    <row r="389" spans="1:1" s="824" customFormat="1" x14ac:dyDescent="0.25">
      <c r="A389" s="823"/>
    </row>
    <row r="390" spans="1:1" s="824" customFormat="1" x14ac:dyDescent="0.25">
      <c r="A390" s="823"/>
    </row>
    <row r="391" spans="1:1" s="824" customFormat="1" x14ac:dyDescent="0.25">
      <c r="A391" s="823"/>
    </row>
    <row r="392" spans="1:1" s="824" customFormat="1" x14ac:dyDescent="0.25">
      <c r="A392" s="823"/>
    </row>
    <row r="393" spans="1:1" s="824" customFormat="1" x14ac:dyDescent="0.25">
      <c r="A393" s="823"/>
    </row>
    <row r="394" spans="1:1" s="824" customFormat="1" x14ac:dyDescent="0.25">
      <c r="A394" s="823"/>
    </row>
    <row r="395" spans="1:1" s="824" customFormat="1" x14ac:dyDescent="0.25">
      <c r="A395" s="823"/>
    </row>
    <row r="396" spans="1:1" s="824" customFormat="1" x14ac:dyDescent="0.25">
      <c r="A396" s="823"/>
    </row>
    <row r="397" spans="1:1" s="824" customFormat="1" x14ac:dyDescent="0.25">
      <c r="A397" s="823"/>
    </row>
    <row r="398" spans="1:1" s="824" customFormat="1" x14ac:dyDescent="0.25">
      <c r="A398" s="823"/>
    </row>
    <row r="399" spans="1:1" s="824" customFormat="1" x14ac:dyDescent="0.25">
      <c r="A399" s="823"/>
    </row>
    <row r="400" spans="1:1" s="824" customFormat="1" x14ac:dyDescent="0.25">
      <c r="A400" s="823"/>
    </row>
    <row r="401" spans="1:1" s="824" customFormat="1" x14ac:dyDescent="0.25">
      <c r="A401" s="823"/>
    </row>
    <row r="402" spans="1:1" s="824" customFormat="1" x14ac:dyDescent="0.25">
      <c r="A402" s="823"/>
    </row>
    <row r="403" spans="1:1" s="824" customFormat="1" x14ac:dyDescent="0.25">
      <c r="A403" s="823"/>
    </row>
    <row r="404" spans="1:1" s="824" customFormat="1" x14ac:dyDescent="0.25">
      <c r="A404" s="823"/>
    </row>
    <row r="405" spans="1:1" s="824" customFormat="1" x14ac:dyDescent="0.25">
      <c r="A405" s="823"/>
    </row>
    <row r="406" spans="1:1" s="824" customFormat="1" x14ac:dyDescent="0.25">
      <c r="A406" s="823"/>
    </row>
    <row r="407" spans="1:1" s="824" customFormat="1" x14ac:dyDescent="0.25">
      <c r="A407" s="823"/>
    </row>
    <row r="408" spans="1:1" s="824" customFormat="1" x14ac:dyDescent="0.25">
      <c r="A408" s="823"/>
    </row>
    <row r="409" spans="1:1" s="824" customFormat="1" x14ac:dyDescent="0.25">
      <c r="A409" s="823"/>
    </row>
    <row r="410" spans="1:1" s="824" customFormat="1" x14ac:dyDescent="0.25">
      <c r="A410" s="823"/>
    </row>
    <row r="411" spans="1:1" s="824" customFormat="1" x14ac:dyDescent="0.25">
      <c r="A411" s="823"/>
    </row>
    <row r="412" spans="1:1" s="824" customFormat="1" x14ac:dyDescent="0.25">
      <c r="A412" s="823"/>
    </row>
    <row r="413" spans="1:1" s="824" customFormat="1" x14ac:dyDescent="0.25">
      <c r="A413" s="823"/>
    </row>
    <row r="414" spans="1:1" s="824" customFormat="1" x14ac:dyDescent="0.25">
      <c r="A414" s="823"/>
    </row>
    <row r="415" spans="1:1" s="824" customFormat="1" x14ac:dyDescent="0.25">
      <c r="A415" s="823"/>
    </row>
    <row r="416" spans="1:1" s="824" customFormat="1" x14ac:dyDescent="0.25">
      <c r="A416" s="823"/>
    </row>
    <row r="417" spans="1:1" s="824" customFormat="1" x14ac:dyDescent="0.25">
      <c r="A417" s="823"/>
    </row>
    <row r="418" spans="1:1" s="824" customFormat="1" x14ac:dyDescent="0.25">
      <c r="A418" s="823"/>
    </row>
    <row r="419" spans="1:1" s="824" customFormat="1" x14ac:dyDescent="0.25">
      <c r="A419" s="823"/>
    </row>
    <row r="420" spans="1:1" s="824" customFormat="1" x14ac:dyDescent="0.25">
      <c r="A420" s="823"/>
    </row>
    <row r="421" spans="1:1" s="824" customFormat="1" x14ac:dyDescent="0.25">
      <c r="A421" s="823"/>
    </row>
    <row r="422" spans="1:1" s="824" customFormat="1" x14ac:dyDescent="0.25">
      <c r="A422" s="823"/>
    </row>
    <row r="423" spans="1:1" s="824" customFormat="1" x14ac:dyDescent="0.25">
      <c r="A423" s="823"/>
    </row>
    <row r="424" spans="1:1" s="824" customFormat="1" x14ac:dyDescent="0.25">
      <c r="A424" s="823"/>
    </row>
    <row r="425" spans="1:1" s="824" customFormat="1" x14ac:dyDescent="0.25">
      <c r="A425" s="823"/>
    </row>
    <row r="426" spans="1:1" s="824" customFormat="1" x14ac:dyDescent="0.25">
      <c r="A426" s="823"/>
    </row>
    <row r="427" spans="1:1" s="824" customFormat="1" x14ac:dyDescent="0.25">
      <c r="A427" s="823"/>
    </row>
    <row r="428" spans="1:1" s="824" customFormat="1" x14ac:dyDescent="0.25">
      <c r="A428" s="823"/>
    </row>
    <row r="429" spans="1:1" s="824" customFormat="1" x14ac:dyDescent="0.25">
      <c r="A429" s="823"/>
    </row>
    <row r="430" spans="1:1" s="824" customFormat="1" x14ac:dyDescent="0.25">
      <c r="A430" s="823"/>
    </row>
    <row r="431" spans="1:1" s="824" customFormat="1" x14ac:dyDescent="0.25">
      <c r="A431" s="823"/>
    </row>
    <row r="432" spans="1:1" s="824" customFormat="1" x14ac:dyDescent="0.25">
      <c r="A432" s="823"/>
    </row>
    <row r="433" spans="1:1" s="824" customFormat="1" x14ac:dyDescent="0.25">
      <c r="A433" s="823"/>
    </row>
    <row r="434" spans="1:1" s="824" customFormat="1" x14ac:dyDescent="0.25">
      <c r="A434" s="823"/>
    </row>
    <row r="435" spans="1:1" s="824" customFormat="1" x14ac:dyDescent="0.25">
      <c r="A435" s="823"/>
    </row>
    <row r="436" spans="1:1" s="824" customFormat="1" x14ac:dyDescent="0.25">
      <c r="A436" s="823"/>
    </row>
    <row r="437" spans="1:1" s="824" customFormat="1" x14ac:dyDescent="0.25">
      <c r="A437" s="823"/>
    </row>
    <row r="438" spans="1:1" s="824" customFormat="1" x14ac:dyDescent="0.25">
      <c r="A438" s="823"/>
    </row>
    <row r="439" spans="1:1" s="824" customFormat="1" x14ac:dyDescent="0.25">
      <c r="A439" s="823"/>
    </row>
    <row r="440" spans="1:1" s="824" customFormat="1" x14ac:dyDescent="0.25">
      <c r="A440" s="823"/>
    </row>
    <row r="441" spans="1:1" s="824" customFormat="1" x14ac:dyDescent="0.25">
      <c r="A441" s="823"/>
    </row>
    <row r="442" spans="1:1" s="824" customFormat="1" x14ac:dyDescent="0.25">
      <c r="A442" s="823"/>
    </row>
    <row r="443" spans="1:1" s="824" customFormat="1" x14ac:dyDescent="0.25">
      <c r="A443" s="823"/>
    </row>
    <row r="444" spans="1:1" s="824" customFormat="1" x14ac:dyDescent="0.25">
      <c r="A444" s="823"/>
    </row>
    <row r="445" spans="1:1" s="824" customFormat="1" x14ac:dyDescent="0.25">
      <c r="A445" s="823"/>
    </row>
    <row r="446" spans="1:1" s="824" customFormat="1" x14ac:dyDescent="0.25">
      <c r="A446" s="823"/>
    </row>
    <row r="447" spans="1:1" s="824" customFormat="1" x14ac:dyDescent="0.25">
      <c r="A447" s="823"/>
    </row>
    <row r="448" spans="1:1" s="824" customFormat="1" x14ac:dyDescent="0.25">
      <c r="A448" s="823"/>
    </row>
    <row r="449" spans="1:1" s="824" customFormat="1" x14ac:dyDescent="0.25">
      <c r="A449" s="823"/>
    </row>
    <row r="450" spans="1:1" s="824" customFormat="1" x14ac:dyDescent="0.25">
      <c r="A450" s="823"/>
    </row>
    <row r="451" spans="1:1" s="824" customFormat="1" x14ac:dyDescent="0.25">
      <c r="A451" s="823"/>
    </row>
    <row r="452" spans="1:1" s="824" customFormat="1" x14ac:dyDescent="0.25">
      <c r="A452" s="823"/>
    </row>
    <row r="453" spans="1:1" s="824" customFormat="1" x14ac:dyDescent="0.25">
      <c r="A453" s="823"/>
    </row>
    <row r="454" spans="1:1" s="824" customFormat="1" x14ac:dyDescent="0.25">
      <c r="A454" s="823"/>
    </row>
    <row r="455" spans="1:1" s="824" customFormat="1" x14ac:dyDescent="0.25">
      <c r="A455" s="823"/>
    </row>
    <row r="456" spans="1:1" s="824" customFormat="1" x14ac:dyDescent="0.25">
      <c r="A456" s="823"/>
    </row>
    <row r="457" spans="1:1" s="824" customFormat="1" x14ac:dyDescent="0.25">
      <c r="A457" s="823"/>
    </row>
    <row r="458" spans="1:1" s="824" customFormat="1" x14ac:dyDescent="0.25">
      <c r="A458" s="823"/>
    </row>
    <row r="459" spans="1:1" s="824" customFormat="1" x14ac:dyDescent="0.25">
      <c r="A459" s="823"/>
    </row>
    <row r="460" spans="1:1" s="824" customFormat="1" x14ac:dyDescent="0.25">
      <c r="A460" s="823"/>
    </row>
    <row r="461" spans="1:1" s="824" customFormat="1" x14ac:dyDescent="0.25">
      <c r="A461" s="823"/>
    </row>
    <row r="462" spans="1:1" s="824" customFormat="1" x14ac:dyDescent="0.25">
      <c r="A462" s="823"/>
    </row>
    <row r="463" spans="1:1" s="824" customFormat="1" x14ac:dyDescent="0.25">
      <c r="A463" s="823"/>
    </row>
    <row r="464" spans="1:1" s="824" customFormat="1" x14ac:dyDescent="0.25">
      <c r="A464" s="823"/>
    </row>
    <row r="465" spans="1:1" s="824" customFormat="1" x14ac:dyDescent="0.25">
      <c r="A465" s="823"/>
    </row>
    <row r="466" spans="1:1" s="824" customFormat="1" x14ac:dyDescent="0.25">
      <c r="A466" s="823"/>
    </row>
    <row r="467" spans="1:1" s="824" customFormat="1" x14ac:dyDescent="0.25">
      <c r="A467" s="823"/>
    </row>
    <row r="468" spans="1:1" s="824" customFormat="1" x14ac:dyDescent="0.25">
      <c r="A468" s="823"/>
    </row>
    <row r="469" spans="1:1" s="824" customFormat="1" x14ac:dyDescent="0.25">
      <c r="A469" s="823"/>
    </row>
    <row r="470" spans="1:1" s="824" customFormat="1" x14ac:dyDescent="0.25">
      <c r="A470" s="823"/>
    </row>
    <row r="471" spans="1:1" s="824" customFormat="1" x14ac:dyDescent="0.25">
      <c r="A471" s="823"/>
    </row>
    <row r="472" spans="1:1" s="824" customFormat="1" x14ac:dyDescent="0.25">
      <c r="A472" s="823"/>
    </row>
    <row r="473" spans="1:1" s="824" customFormat="1" x14ac:dyDescent="0.25">
      <c r="A473" s="823"/>
    </row>
    <row r="474" spans="1:1" s="824" customFormat="1" x14ac:dyDescent="0.25">
      <c r="A474" s="823"/>
    </row>
    <row r="475" spans="1:1" s="824" customFormat="1" x14ac:dyDescent="0.25">
      <c r="A475" s="823"/>
    </row>
    <row r="476" spans="1:1" s="824" customFormat="1" x14ac:dyDescent="0.25">
      <c r="A476" s="823"/>
    </row>
    <row r="477" spans="1:1" s="824" customFormat="1" x14ac:dyDescent="0.25">
      <c r="A477" s="823"/>
    </row>
    <row r="478" spans="1:1" s="824" customFormat="1" x14ac:dyDescent="0.25">
      <c r="A478" s="823"/>
    </row>
    <row r="479" spans="1:1" s="824" customFormat="1" x14ac:dyDescent="0.25">
      <c r="A479" s="823"/>
    </row>
    <row r="480" spans="1:1" s="824" customFormat="1" x14ac:dyDescent="0.25">
      <c r="A480" s="823"/>
    </row>
    <row r="481" spans="1:1" s="824" customFormat="1" x14ac:dyDescent="0.25">
      <c r="A481" s="823"/>
    </row>
    <row r="482" spans="1:1" s="824" customFormat="1" x14ac:dyDescent="0.25">
      <c r="A482" s="823"/>
    </row>
    <row r="483" spans="1:1" s="824" customFormat="1" x14ac:dyDescent="0.25">
      <c r="A483" s="823"/>
    </row>
    <row r="484" spans="1:1" s="824" customFormat="1" x14ac:dyDescent="0.25">
      <c r="A484" s="823"/>
    </row>
    <row r="485" spans="1:1" s="824" customFormat="1" x14ac:dyDescent="0.25">
      <c r="A485" s="823"/>
    </row>
    <row r="486" spans="1:1" s="824" customFormat="1" x14ac:dyDescent="0.25">
      <c r="A486" s="823"/>
    </row>
    <row r="487" spans="1:1" s="824" customFormat="1" x14ac:dyDescent="0.25">
      <c r="A487" s="823"/>
    </row>
    <row r="488" spans="1:1" s="824" customFormat="1" x14ac:dyDescent="0.25">
      <c r="A488" s="823"/>
    </row>
    <row r="489" spans="1:1" s="824" customFormat="1" x14ac:dyDescent="0.25">
      <c r="A489" s="823"/>
    </row>
    <row r="490" spans="1:1" s="824" customFormat="1" x14ac:dyDescent="0.25">
      <c r="A490" s="823"/>
    </row>
    <row r="491" spans="1:1" s="824" customFormat="1" x14ac:dyDescent="0.25">
      <c r="A491" s="823"/>
    </row>
    <row r="492" spans="1:1" s="824" customFormat="1" x14ac:dyDescent="0.25">
      <c r="A492" s="823"/>
    </row>
    <row r="493" spans="1:1" s="824" customFormat="1" x14ac:dyDescent="0.25">
      <c r="A493" s="823"/>
    </row>
    <row r="494" spans="1:1" s="824" customFormat="1" x14ac:dyDescent="0.25">
      <c r="A494" s="823"/>
    </row>
    <row r="495" spans="1:1" s="824" customFormat="1" x14ac:dyDescent="0.25">
      <c r="A495" s="823"/>
    </row>
    <row r="496" spans="1:1" s="824" customFormat="1" x14ac:dyDescent="0.25">
      <c r="A496" s="823"/>
    </row>
    <row r="497" spans="1:1" s="824" customFormat="1" x14ac:dyDescent="0.25">
      <c r="A497" s="823"/>
    </row>
    <row r="498" spans="1:1" s="824" customFormat="1" x14ac:dyDescent="0.25">
      <c r="A498" s="823"/>
    </row>
    <row r="499" spans="1:1" s="824" customFormat="1" x14ac:dyDescent="0.25">
      <c r="A499" s="823"/>
    </row>
    <row r="500" spans="1:1" s="824" customFormat="1" x14ac:dyDescent="0.25">
      <c r="A500" s="823"/>
    </row>
    <row r="501" spans="1:1" s="824" customFormat="1" x14ac:dyDescent="0.25">
      <c r="A501" s="823"/>
    </row>
    <row r="502" spans="1:1" s="824" customFormat="1" x14ac:dyDescent="0.25">
      <c r="A502" s="823"/>
    </row>
    <row r="503" spans="1:1" s="824" customFormat="1" x14ac:dyDescent="0.25">
      <c r="A503" s="823"/>
    </row>
    <row r="504" spans="1:1" s="824" customFormat="1" x14ac:dyDescent="0.25">
      <c r="A504" s="823"/>
    </row>
    <row r="505" spans="1:1" s="824" customFormat="1" x14ac:dyDescent="0.25">
      <c r="A505" s="823"/>
    </row>
    <row r="506" spans="1:1" s="824" customFormat="1" x14ac:dyDescent="0.25">
      <c r="A506" s="823"/>
    </row>
    <row r="507" spans="1:1" s="824" customFormat="1" x14ac:dyDescent="0.25">
      <c r="A507" s="823"/>
    </row>
    <row r="508" spans="1:1" s="824" customFormat="1" x14ac:dyDescent="0.25">
      <c r="A508" s="823"/>
    </row>
    <row r="509" spans="1:1" s="824" customFormat="1" x14ac:dyDescent="0.25">
      <c r="A509" s="823"/>
    </row>
    <row r="510" spans="1:1" s="824" customFormat="1" x14ac:dyDescent="0.25">
      <c r="A510" s="823"/>
    </row>
    <row r="511" spans="1:1" s="824" customFormat="1" x14ac:dyDescent="0.25">
      <c r="A511" s="823"/>
    </row>
    <row r="512" spans="1:1" s="824" customFormat="1" x14ac:dyDescent="0.25">
      <c r="A512" s="823"/>
    </row>
    <row r="513" spans="1:1" s="824" customFormat="1" x14ac:dyDescent="0.25">
      <c r="A513" s="823"/>
    </row>
    <row r="514" spans="1:1" s="824" customFormat="1" x14ac:dyDescent="0.25">
      <c r="A514" s="823"/>
    </row>
    <row r="515" spans="1:1" s="824" customFormat="1" x14ac:dyDescent="0.25">
      <c r="A515" s="823"/>
    </row>
    <row r="516" spans="1:1" s="824" customFormat="1" x14ac:dyDescent="0.25">
      <c r="A516" s="823"/>
    </row>
    <row r="517" spans="1:1" s="824" customFormat="1" x14ac:dyDescent="0.25">
      <c r="A517" s="823"/>
    </row>
    <row r="518" spans="1:1" s="824" customFormat="1" x14ac:dyDescent="0.25">
      <c r="A518" s="823"/>
    </row>
    <row r="519" spans="1:1" s="824" customFormat="1" x14ac:dyDescent="0.25">
      <c r="A519" s="823"/>
    </row>
    <row r="520" spans="1:1" s="824" customFormat="1" x14ac:dyDescent="0.25">
      <c r="A520" s="823"/>
    </row>
    <row r="521" spans="1:1" s="824" customFormat="1" x14ac:dyDescent="0.25">
      <c r="A521" s="823"/>
    </row>
    <row r="522" spans="1:1" s="824" customFormat="1" x14ac:dyDescent="0.25">
      <c r="A522" s="823"/>
    </row>
    <row r="523" spans="1:1" s="824" customFormat="1" x14ac:dyDescent="0.25">
      <c r="A523" s="823"/>
    </row>
    <row r="524" spans="1:1" s="824" customFormat="1" x14ac:dyDescent="0.25">
      <c r="A524" s="823"/>
    </row>
    <row r="525" spans="1:1" s="824" customFormat="1" x14ac:dyDescent="0.25">
      <c r="A525" s="823"/>
    </row>
    <row r="526" spans="1:1" s="824" customFormat="1" x14ac:dyDescent="0.25">
      <c r="A526" s="823"/>
    </row>
    <row r="527" spans="1:1" s="824" customFormat="1" x14ac:dyDescent="0.25">
      <c r="A527" s="823"/>
    </row>
    <row r="528" spans="1:1" s="824" customFormat="1" x14ac:dyDescent="0.25">
      <c r="A528" s="823"/>
    </row>
    <row r="529" spans="1:1" s="824" customFormat="1" x14ac:dyDescent="0.25">
      <c r="A529" s="823"/>
    </row>
    <row r="530" spans="1:1" s="824" customFormat="1" x14ac:dyDescent="0.25">
      <c r="A530" s="823"/>
    </row>
    <row r="531" spans="1:1" s="824" customFormat="1" x14ac:dyDescent="0.25">
      <c r="A531" s="823"/>
    </row>
    <row r="532" spans="1:1" s="824" customFormat="1" x14ac:dyDescent="0.25">
      <c r="A532" s="823"/>
    </row>
    <row r="533" spans="1:1" s="824" customFormat="1" x14ac:dyDescent="0.25">
      <c r="A533" s="823"/>
    </row>
    <row r="534" spans="1:1" s="824" customFormat="1" x14ac:dyDescent="0.25">
      <c r="A534" s="823"/>
    </row>
    <row r="535" spans="1:1" s="824" customFormat="1" x14ac:dyDescent="0.25">
      <c r="A535" s="823"/>
    </row>
    <row r="536" spans="1:1" s="824" customFormat="1" x14ac:dyDescent="0.25">
      <c r="A536" s="823"/>
    </row>
    <row r="537" spans="1:1" s="824" customFormat="1" x14ac:dyDescent="0.25">
      <c r="A537" s="823"/>
    </row>
    <row r="538" spans="1:1" s="824" customFormat="1" x14ac:dyDescent="0.25">
      <c r="A538" s="823"/>
    </row>
    <row r="539" spans="1:1" s="824" customFormat="1" x14ac:dyDescent="0.25">
      <c r="A539" s="823"/>
    </row>
    <row r="540" spans="1:1" s="824" customFormat="1" x14ac:dyDescent="0.25">
      <c r="A540" s="823"/>
    </row>
    <row r="541" spans="1:1" s="824" customFormat="1" x14ac:dyDescent="0.25">
      <c r="A541" s="823"/>
    </row>
    <row r="542" spans="1:1" s="824" customFormat="1" x14ac:dyDescent="0.25">
      <c r="A542" s="823"/>
    </row>
    <row r="543" spans="1:1" s="824" customFormat="1" x14ac:dyDescent="0.25">
      <c r="A543" s="823"/>
    </row>
    <row r="544" spans="1:1" s="824" customFormat="1" x14ac:dyDescent="0.25">
      <c r="A544" s="823"/>
    </row>
    <row r="545" spans="1:1" s="824" customFormat="1" x14ac:dyDescent="0.25">
      <c r="A545" s="823"/>
    </row>
    <row r="546" spans="1:1" s="824" customFormat="1" x14ac:dyDescent="0.25">
      <c r="A546" s="823"/>
    </row>
    <row r="547" spans="1:1" s="824" customFormat="1" x14ac:dyDescent="0.25">
      <c r="A547" s="823"/>
    </row>
    <row r="548" spans="1:1" s="824" customFormat="1" x14ac:dyDescent="0.25">
      <c r="A548" s="823"/>
    </row>
    <row r="549" spans="1:1" s="824" customFormat="1" x14ac:dyDescent="0.25">
      <c r="A549" s="823"/>
    </row>
    <row r="550" spans="1:1" s="824" customFormat="1" x14ac:dyDescent="0.25">
      <c r="A550" s="823"/>
    </row>
    <row r="551" spans="1:1" s="824" customFormat="1" x14ac:dyDescent="0.25">
      <c r="A551" s="823"/>
    </row>
    <row r="552" spans="1:1" s="824" customFormat="1" x14ac:dyDescent="0.25">
      <c r="A552" s="823"/>
    </row>
    <row r="553" spans="1:1" s="824" customFormat="1" x14ac:dyDescent="0.25">
      <c r="A553" s="823"/>
    </row>
    <row r="554" spans="1:1" s="824" customFormat="1" x14ac:dyDescent="0.25">
      <c r="A554" s="823"/>
    </row>
    <row r="555" spans="1:1" s="824" customFormat="1" x14ac:dyDescent="0.25">
      <c r="A555" s="823"/>
    </row>
    <row r="556" spans="1:1" s="824" customFormat="1" x14ac:dyDescent="0.25">
      <c r="A556" s="823"/>
    </row>
    <row r="557" spans="1:1" s="824" customFormat="1" x14ac:dyDescent="0.25">
      <c r="A557" s="823"/>
    </row>
    <row r="558" spans="1:1" s="824" customFormat="1" x14ac:dyDescent="0.25">
      <c r="A558" s="823"/>
    </row>
    <row r="559" spans="1:1" s="824" customFormat="1" x14ac:dyDescent="0.25">
      <c r="A559" s="823"/>
    </row>
    <row r="560" spans="1:1" s="824" customFormat="1" x14ac:dyDescent="0.25">
      <c r="A560" s="823"/>
    </row>
    <row r="561" spans="1:1" s="824" customFormat="1" x14ac:dyDescent="0.25">
      <c r="A561" s="823"/>
    </row>
    <row r="562" spans="1:1" s="824" customFormat="1" x14ac:dyDescent="0.25">
      <c r="A562" s="823"/>
    </row>
    <row r="563" spans="1:1" s="824" customFormat="1" x14ac:dyDescent="0.25">
      <c r="A563" s="823"/>
    </row>
    <row r="564" spans="1:1" s="824" customFormat="1" x14ac:dyDescent="0.25">
      <c r="A564" s="823"/>
    </row>
    <row r="565" spans="1:1" s="824" customFormat="1" x14ac:dyDescent="0.25">
      <c r="A565" s="823"/>
    </row>
    <row r="566" spans="1:1" s="824" customFormat="1" x14ac:dyDescent="0.25">
      <c r="A566" s="823"/>
    </row>
    <row r="567" spans="1:1" s="824" customFormat="1" x14ac:dyDescent="0.25">
      <c r="A567" s="823"/>
    </row>
    <row r="568" spans="1:1" s="824" customFormat="1" x14ac:dyDescent="0.25">
      <c r="A568" s="823"/>
    </row>
    <row r="569" spans="1:1" s="824" customFormat="1" x14ac:dyDescent="0.25">
      <c r="A569" s="823"/>
    </row>
    <row r="570" spans="1:1" s="824" customFormat="1" x14ac:dyDescent="0.25">
      <c r="A570" s="823"/>
    </row>
    <row r="571" spans="1:1" s="824" customFormat="1" x14ac:dyDescent="0.25">
      <c r="A571" s="823"/>
    </row>
    <row r="572" spans="1:1" s="824" customFormat="1" x14ac:dyDescent="0.25">
      <c r="A572" s="823"/>
    </row>
    <row r="573" spans="1:1" s="824" customFormat="1" x14ac:dyDescent="0.25">
      <c r="A573" s="823"/>
    </row>
    <row r="574" spans="1:1" s="824" customFormat="1" x14ac:dyDescent="0.25">
      <c r="A574" s="823"/>
    </row>
    <row r="575" spans="1:1" s="824" customFormat="1" x14ac:dyDescent="0.25">
      <c r="A575" s="823"/>
    </row>
    <row r="576" spans="1:1" s="824" customFormat="1" x14ac:dyDescent="0.25">
      <c r="A576" s="823"/>
    </row>
    <row r="577" spans="1:1" s="824" customFormat="1" x14ac:dyDescent="0.25">
      <c r="A577" s="823"/>
    </row>
    <row r="578" spans="1:1" s="824" customFormat="1" x14ac:dyDescent="0.25">
      <c r="A578" s="823"/>
    </row>
    <row r="579" spans="1:1" s="824" customFormat="1" x14ac:dyDescent="0.25">
      <c r="A579" s="823"/>
    </row>
    <row r="580" spans="1:1" s="824" customFormat="1" x14ac:dyDescent="0.25">
      <c r="A580" s="823"/>
    </row>
    <row r="581" spans="1:1" s="824" customFormat="1" x14ac:dyDescent="0.25">
      <c r="A581" s="823"/>
    </row>
    <row r="582" spans="1:1" s="824" customFormat="1" x14ac:dyDescent="0.25">
      <c r="A582" s="823"/>
    </row>
    <row r="583" spans="1:1" s="824" customFormat="1" x14ac:dyDescent="0.25">
      <c r="A583" s="823"/>
    </row>
    <row r="584" spans="1:1" s="824" customFormat="1" x14ac:dyDescent="0.25">
      <c r="A584" s="823"/>
    </row>
    <row r="585" spans="1:1" s="824" customFormat="1" x14ac:dyDescent="0.25">
      <c r="A585" s="823"/>
    </row>
    <row r="586" spans="1:1" s="824" customFormat="1" x14ac:dyDescent="0.25">
      <c r="A586" s="823"/>
    </row>
    <row r="587" spans="1:1" s="824" customFormat="1" x14ac:dyDescent="0.25">
      <c r="A587" s="823"/>
    </row>
    <row r="588" spans="1:1" s="824" customFormat="1" x14ac:dyDescent="0.25">
      <c r="A588" s="823"/>
    </row>
    <row r="589" spans="1:1" s="824" customFormat="1" x14ac:dyDescent="0.25">
      <c r="A589" s="823"/>
    </row>
    <row r="590" spans="1:1" s="824" customFormat="1" x14ac:dyDescent="0.25">
      <c r="A590" s="823"/>
    </row>
    <row r="591" spans="1:1" s="824" customFormat="1" x14ac:dyDescent="0.25">
      <c r="A591" s="823"/>
    </row>
    <row r="592" spans="1:1" s="824" customFormat="1" x14ac:dyDescent="0.25">
      <c r="A592" s="823"/>
    </row>
    <row r="593" spans="1:1" s="824" customFormat="1" x14ac:dyDescent="0.25">
      <c r="A593" s="823"/>
    </row>
    <row r="594" spans="1:1" s="824" customFormat="1" x14ac:dyDescent="0.25">
      <c r="A594" s="823"/>
    </row>
    <row r="595" spans="1:1" s="824" customFormat="1" x14ac:dyDescent="0.25">
      <c r="A595" s="823"/>
    </row>
    <row r="596" spans="1:1" s="824" customFormat="1" x14ac:dyDescent="0.25">
      <c r="A596" s="823"/>
    </row>
    <row r="597" spans="1:1" s="824" customFormat="1" x14ac:dyDescent="0.25">
      <c r="A597" s="823"/>
    </row>
    <row r="598" spans="1:1" s="824" customFormat="1" x14ac:dyDescent="0.25">
      <c r="A598" s="823"/>
    </row>
    <row r="599" spans="1:1" s="824" customFormat="1" x14ac:dyDescent="0.25">
      <c r="A599" s="823"/>
    </row>
    <row r="600" spans="1:1" s="824" customFormat="1" x14ac:dyDescent="0.25">
      <c r="A600" s="823"/>
    </row>
    <row r="601" spans="1:1" s="824" customFormat="1" x14ac:dyDescent="0.25">
      <c r="A601" s="823"/>
    </row>
    <row r="602" spans="1:1" s="824" customFormat="1" x14ac:dyDescent="0.25">
      <c r="A602" s="823"/>
    </row>
    <row r="603" spans="1:1" s="824" customFormat="1" x14ac:dyDescent="0.25">
      <c r="A603" s="823"/>
    </row>
    <row r="604" spans="1:1" s="824" customFormat="1" x14ac:dyDescent="0.25">
      <c r="A604" s="823"/>
    </row>
    <row r="605" spans="1:1" s="824" customFormat="1" x14ac:dyDescent="0.25">
      <c r="A605" s="823"/>
    </row>
    <row r="606" spans="1:1" s="824" customFormat="1" x14ac:dyDescent="0.25">
      <c r="A606" s="823"/>
    </row>
    <row r="607" spans="1:1" s="824" customFormat="1" x14ac:dyDescent="0.25">
      <c r="A607" s="823"/>
    </row>
    <row r="608" spans="1:1" s="824" customFormat="1" x14ac:dyDescent="0.25">
      <c r="A608" s="823"/>
    </row>
    <row r="609" spans="1:1" s="824" customFormat="1" x14ac:dyDescent="0.25">
      <c r="A609" s="823"/>
    </row>
    <row r="610" spans="1:1" s="824" customFormat="1" x14ac:dyDescent="0.25">
      <c r="A610" s="823"/>
    </row>
    <row r="611" spans="1:1" s="824" customFormat="1" x14ac:dyDescent="0.25">
      <c r="A611" s="823"/>
    </row>
    <row r="612" spans="1:1" s="824" customFormat="1" x14ac:dyDescent="0.25">
      <c r="A612" s="823"/>
    </row>
    <row r="613" spans="1:1" s="824" customFormat="1" x14ac:dyDescent="0.25">
      <c r="A613" s="823"/>
    </row>
    <row r="614" spans="1:1" s="824" customFormat="1" x14ac:dyDescent="0.25">
      <c r="A614" s="823"/>
    </row>
    <row r="615" spans="1:1" s="824" customFormat="1" x14ac:dyDescent="0.25">
      <c r="A615" s="823"/>
    </row>
    <row r="616" spans="1:1" s="824" customFormat="1" x14ac:dyDescent="0.25">
      <c r="A616" s="823"/>
    </row>
    <row r="617" spans="1:1" s="824" customFormat="1" x14ac:dyDescent="0.25">
      <c r="A617" s="823"/>
    </row>
    <row r="618" spans="1:1" s="824" customFormat="1" x14ac:dyDescent="0.25">
      <c r="A618" s="823"/>
    </row>
    <row r="619" spans="1:1" s="824" customFormat="1" x14ac:dyDescent="0.25">
      <c r="A619" s="823"/>
    </row>
    <row r="620" spans="1:1" s="824" customFormat="1" x14ac:dyDescent="0.25">
      <c r="A620" s="823"/>
    </row>
    <row r="621" spans="1:1" s="824" customFormat="1" x14ac:dyDescent="0.25">
      <c r="A621" s="823"/>
    </row>
    <row r="622" spans="1:1" s="824" customFormat="1" x14ac:dyDescent="0.25">
      <c r="A622" s="823"/>
    </row>
    <row r="623" spans="1:1" s="824" customFormat="1" x14ac:dyDescent="0.25">
      <c r="A623" s="823"/>
    </row>
    <row r="624" spans="1:1" s="824" customFormat="1" x14ac:dyDescent="0.25">
      <c r="A624" s="823"/>
    </row>
    <row r="625" spans="1:1" s="824" customFormat="1" x14ac:dyDescent="0.25">
      <c r="A625" s="823"/>
    </row>
    <row r="626" spans="1:1" s="824" customFormat="1" x14ac:dyDescent="0.25">
      <c r="A626" s="823"/>
    </row>
    <row r="627" spans="1:1" s="824" customFormat="1" x14ac:dyDescent="0.25">
      <c r="A627" s="823"/>
    </row>
    <row r="628" spans="1:1" s="824" customFormat="1" x14ac:dyDescent="0.25">
      <c r="A628" s="823"/>
    </row>
    <row r="629" spans="1:1" s="824" customFormat="1" x14ac:dyDescent="0.25">
      <c r="A629" s="823"/>
    </row>
    <row r="630" spans="1:1" s="824" customFormat="1" x14ac:dyDescent="0.25">
      <c r="A630" s="823"/>
    </row>
    <row r="631" spans="1:1" s="824" customFormat="1" x14ac:dyDescent="0.25">
      <c r="A631" s="823"/>
    </row>
    <row r="632" spans="1:1" s="824" customFormat="1" x14ac:dyDescent="0.25">
      <c r="A632" s="823"/>
    </row>
    <row r="633" spans="1:1" s="824" customFormat="1" x14ac:dyDescent="0.25">
      <c r="A633" s="823"/>
    </row>
    <row r="634" spans="1:1" s="824" customFormat="1" x14ac:dyDescent="0.25">
      <c r="A634" s="823"/>
    </row>
    <row r="635" spans="1:1" s="824" customFormat="1" x14ac:dyDescent="0.25">
      <c r="A635" s="823"/>
    </row>
    <row r="636" spans="1:1" s="824" customFormat="1" x14ac:dyDescent="0.25">
      <c r="A636" s="823"/>
    </row>
    <row r="637" spans="1:1" s="824" customFormat="1" x14ac:dyDescent="0.25">
      <c r="A637" s="823"/>
    </row>
    <row r="638" spans="1:1" s="824" customFormat="1" x14ac:dyDescent="0.25">
      <c r="A638" s="823"/>
    </row>
    <row r="639" spans="1:1" s="824" customFormat="1" x14ac:dyDescent="0.25">
      <c r="A639" s="823"/>
    </row>
    <row r="640" spans="1:1" s="824" customFormat="1" x14ac:dyDescent="0.25">
      <c r="A640" s="823"/>
    </row>
    <row r="641" spans="1:1" s="824" customFormat="1" x14ac:dyDescent="0.25">
      <c r="A641" s="823"/>
    </row>
    <row r="642" spans="1:1" s="824" customFormat="1" x14ac:dyDescent="0.25">
      <c r="A642" s="823"/>
    </row>
    <row r="643" spans="1:1" s="824" customFormat="1" x14ac:dyDescent="0.25">
      <c r="A643" s="823"/>
    </row>
    <row r="644" spans="1:1" s="824" customFormat="1" x14ac:dyDescent="0.25">
      <c r="A644" s="823"/>
    </row>
    <row r="645" spans="1:1" s="824" customFormat="1" x14ac:dyDescent="0.25">
      <c r="A645" s="823"/>
    </row>
    <row r="646" spans="1:1" s="824" customFormat="1" x14ac:dyDescent="0.25">
      <c r="A646" s="823"/>
    </row>
    <row r="647" spans="1:1" s="824" customFormat="1" x14ac:dyDescent="0.25">
      <c r="A647" s="823"/>
    </row>
    <row r="648" spans="1:1" s="824" customFormat="1" x14ac:dyDescent="0.25">
      <c r="A648" s="823"/>
    </row>
    <row r="649" spans="1:1" s="824" customFormat="1" x14ac:dyDescent="0.25">
      <c r="A649" s="823"/>
    </row>
    <row r="650" spans="1:1" s="824" customFormat="1" x14ac:dyDescent="0.25">
      <c r="A650" s="823"/>
    </row>
    <row r="651" spans="1:1" s="824" customFormat="1" x14ac:dyDescent="0.25">
      <c r="A651" s="823"/>
    </row>
    <row r="652" spans="1:1" s="824" customFormat="1" x14ac:dyDescent="0.25">
      <c r="A652" s="823"/>
    </row>
    <row r="653" spans="1:1" s="824" customFormat="1" x14ac:dyDescent="0.25">
      <c r="A653" s="823"/>
    </row>
    <row r="654" spans="1:1" s="824" customFormat="1" x14ac:dyDescent="0.25">
      <c r="A654" s="823"/>
    </row>
    <row r="655" spans="1:1" s="824" customFormat="1" x14ac:dyDescent="0.25">
      <c r="A655" s="823"/>
    </row>
    <row r="656" spans="1:1" s="824" customFormat="1" x14ac:dyDescent="0.25">
      <c r="A656" s="823"/>
    </row>
    <row r="657" spans="1:1" s="824" customFormat="1" x14ac:dyDescent="0.25">
      <c r="A657" s="823"/>
    </row>
    <row r="658" spans="1:1" s="824" customFormat="1" x14ac:dyDescent="0.25">
      <c r="A658" s="823"/>
    </row>
    <row r="659" spans="1:1" s="824" customFormat="1" x14ac:dyDescent="0.25">
      <c r="A659" s="823"/>
    </row>
    <row r="660" spans="1:1" s="824" customFormat="1" x14ac:dyDescent="0.25">
      <c r="A660" s="823"/>
    </row>
    <row r="661" spans="1:1" s="824" customFormat="1" x14ac:dyDescent="0.25">
      <c r="A661" s="823"/>
    </row>
    <row r="662" spans="1:1" s="824" customFormat="1" x14ac:dyDescent="0.25">
      <c r="A662" s="823"/>
    </row>
    <row r="663" spans="1:1" s="824" customFormat="1" x14ac:dyDescent="0.25">
      <c r="A663" s="823"/>
    </row>
    <row r="664" spans="1:1" s="824" customFormat="1" x14ac:dyDescent="0.25">
      <c r="A664" s="823"/>
    </row>
    <row r="665" spans="1:1" s="824" customFormat="1" x14ac:dyDescent="0.25">
      <c r="A665" s="823"/>
    </row>
    <row r="666" spans="1:1" s="824" customFormat="1" x14ac:dyDescent="0.25">
      <c r="A666" s="823"/>
    </row>
    <row r="667" spans="1:1" s="824" customFormat="1" x14ac:dyDescent="0.25">
      <c r="A667" s="823"/>
    </row>
    <row r="668" spans="1:1" s="824" customFormat="1" x14ac:dyDescent="0.25">
      <c r="A668" s="823"/>
    </row>
    <row r="669" spans="1:1" s="824" customFormat="1" x14ac:dyDescent="0.25">
      <c r="A669" s="823"/>
    </row>
    <row r="670" spans="1:1" s="824" customFormat="1" x14ac:dyDescent="0.25">
      <c r="A670" s="823"/>
    </row>
    <row r="671" spans="1:1" s="824" customFormat="1" x14ac:dyDescent="0.25">
      <c r="A671" s="823"/>
    </row>
    <row r="672" spans="1:1" s="824" customFormat="1" x14ac:dyDescent="0.25">
      <c r="A672" s="823"/>
    </row>
    <row r="673" spans="1:1" s="824" customFormat="1" x14ac:dyDescent="0.25">
      <c r="A673" s="823"/>
    </row>
    <row r="674" spans="1:1" s="824" customFormat="1" x14ac:dyDescent="0.25">
      <c r="A674" s="823"/>
    </row>
    <row r="675" spans="1:1" s="824" customFormat="1" x14ac:dyDescent="0.25">
      <c r="A675" s="823"/>
    </row>
    <row r="676" spans="1:1" s="824" customFormat="1" x14ac:dyDescent="0.25">
      <c r="A676" s="823"/>
    </row>
    <row r="677" spans="1:1" s="824" customFormat="1" x14ac:dyDescent="0.25">
      <c r="A677" s="823"/>
    </row>
    <row r="678" spans="1:1" s="824" customFormat="1" x14ac:dyDescent="0.25">
      <c r="A678" s="823"/>
    </row>
    <row r="679" spans="1:1" s="824" customFormat="1" x14ac:dyDescent="0.25">
      <c r="A679" s="823"/>
    </row>
    <row r="680" spans="1:1" s="824" customFormat="1" x14ac:dyDescent="0.25">
      <c r="A680" s="823"/>
    </row>
    <row r="681" spans="1:1" s="824" customFormat="1" x14ac:dyDescent="0.25">
      <c r="A681" s="823"/>
    </row>
    <row r="682" spans="1:1" s="824" customFormat="1" x14ac:dyDescent="0.25">
      <c r="A682" s="823"/>
    </row>
    <row r="683" spans="1:1" s="824" customFormat="1" x14ac:dyDescent="0.25">
      <c r="A683" s="823"/>
    </row>
    <row r="684" spans="1:1" s="824" customFormat="1" x14ac:dyDescent="0.25">
      <c r="A684" s="823"/>
    </row>
    <row r="685" spans="1:1" s="824" customFormat="1" x14ac:dyDescent="0.25">
      <c r="A685" s="823"/>
    </row>
    <row r="686" spans="1:1" s="824" customFormat="1" x14ac:dyDescent="0.25">
      <c r="A686" s="823"/>
    </row>
    <row r="687" spans="1:1" s="824" customFormat="1" x14ac:dyDescent="0.25">
      <c r="A687" s="823"/>
    </row>
    <row r="688" spans="1:1" s="824" customFormat="1" x14ac:dyDescent="0.25">
      <c r="A688" s="823"/>
    </row>
    <row r="689" spans="1:1" s="824" customFormat="1" x14ac:dyDescent="0.25">
      <c r="A689" s="823"/>
    </row>
    <row r="690" spans="1:1" s="824" customFormat="1" x14ac:dyDescent="0.25">
      <c r="A690" s="823"/>
    </row>
    <row r="691" spans="1:1" s="824" customFormat="1" x14ac:dyDescent="0.25">
      <c r="A691" s="823"/>
    </row>
    <row r="692" spans="1:1" s="824" customFormat="1" x14ac:dyDescent="0.25">
      <c r="A692" s="823"/>
    </row>
    <row r="693" spans="1:1" s="824" customFormat="1" x14ac:dyDescent="0.25">
      <c r="A693" s="823"/>
    </row>
    <row r="694" spans="1:1" s="824" customFormat="1" x14ac:dyDescent="0.25">
      <c r="A694" s="823"/>
    </row>
    <row r="695" spans="1:1" s="824" customFormat="1" x14ac:dyDescent="0.25">
      <c r="A695" s="823"/>
    </row>
    <row r="696" spans="1:1" s="824" customFormat="1" x14ac:dyDescent="0.25">
      <c r="A696" s="823"/>
    </row>
    <row r="697" spans="1:1" s="824" customFormat="1" x14ac:dyDescent="0.25">
      <c r="A697" s="823"/>
    </row>
    <row r="698" spans="1:1" s="824" customFormat="1" x14ac:dyDescent="0.25">
      <c r="A698" s="823"/>
    </row>
    <row r="699" spans="1:1" s="824" customFormat="1" x14ac:dyDescent="0.25">
      <c r="A699" s="823"/>
    </row>
    <row r="700" spans="1:1" s="824" customFormat="1" x14ac:dyDescent="0.25">
      <c r="A700" s="823"/>
    </row>
    <row r="701" spans="1:1" s="824" customFormat="1" x14ac:dyDescent="0.25">
      <c r="A701" s="823"/>
    </row>
    <row r="702" spans="1:1" s="824" customFormat="1" x14ac:dyDescent="0.25">
      <c r="A702" s="823"/>
    </row>
    <row r="703" spans="1:1" s="824" customFormat="1" x14ac:dyDescent="0.25">
      <c r="A703" s="823"/>
    </row>
    <row r="704" spans="1:1" s="824" customFormat="1" x14ac:dyDescent="0.25">
      <c r="A704" s="823"/>
    </row>
    <row r="705" spans="1:1" s="824" customFormat="1" x14ac:dyDescent="0.25">
      <c r="A705" s="823"/>
    </row>
    <row r="706" spans="1:1" s="824" customFormat="1" x14ac:dyDescent="0.25">
      <c r="A706" s="823"/>
    </row>
    <row r="707" spans="1:1" s="824" customFormat="1" x14ac:dyDescent="0.25">
      <c r="A707" s="823"/>
    </row>
    <row r="708" spans="1:1" s="824" customFormat="1" x14ac:dyDescent="0.25">
      <c r="A708" s="823"/>
    </row>
    <row r="709" spans="1:1" s="824" customFormat="1" x14ac:dyDescent="0.25">
      <c r="A709" s="823"/>
    </row>
    <row r="710" spans="1:1" s="824" customFormat="1" x14ac:dyDescent="0.25">
      <c r="A710" s="823"/>
    </row>
    <row r="711" spans="1:1" s="824" customFormat="1" x14ac:dyDescent="0.25">
      <c r="A711" s="823"/>
    </row>
    <row r="712" spans="1:1" s="824" customFormat="1" x14ac:dyDescent="0.25">
      <c r="A712" s="823"/>
    </row>
    <row r="713" spans="1:1" s="824" customFormat="1" x14ac:dyDescent="0.25">
      <c r="A713" s="823"/>
    </row>
    <row r="714" spans="1:1" s="824" customFormat="1" x14ac:dyDescent="0.25">
      <c r="A714" s="823"/>
    </row>
    <row r="715" spans="1:1" s="824" customFormat="1" x14ac:dyDescent="0.25">
      <c r="A715" s="823"/>
    </row>
    <row r="716" spans="1:1" s="824" customFormat="1" x14ac:dyDescent="0.25">
      <c r="A716" s="823"/>
    </row>
    <row r="717" spans="1:1" s="824" customFormat="1" x14ac:dyDescent="0.25">
      <c r="A717" s="823"/>
    </row>
    <row r="718" spans="1:1" s="824" customFormat="1" x14ac:dyDescent="0.25">
      <c r="A718" s="823"/>
    </row>
    <row r="719" spans="1:1" s="824" customFormat="1" x14ac:dyDescent="0.25">
      <c r="A719" s="823"/>
    </row>
    <row r="720" spans="1:1" s="824" customFormat="1" x14ac:dyDescent="0.25">
      <c r="A720" s="823"/>
    </row>
    <row r="721" spans="1:1" s="824" customFormat="1" x14ac:dyDescent="0.25">
      <c r="A721" s="823"/>
    </row>
    <row r="722" spans="1:1" s="824" customFormat="1" x14ac:dyDescent="0.25">
      <c r="A722" s="823"/>
    </row>
    <row r="723" spans="1:1" s="824" customFormat="1" x14ac:dyDescent="0.25">
      <c r="A723" s="823"/>
    </row>
    <row r="724" spans="1:1" s="824" customFormat="1" x14ac:dyDescent="0.25">
      <c r="A724" s="823"/>
    </row>
    <row r="725" spans="1:1" s="824" customFormat="1" x14ac:dyDescent="0.25">
      <c r="A725" s="823"/>
    </row>
    <row r="726" spans="1:1" s="824" customFormat="1" x14ac:dyDescent="0.25">
      <c r="A726" s="823"/>
    </row>
    <row r="727" spans="1:1" s="824" customFormat="1" x14ac:dyDescent="0.25">
      <c r="A727" s="823"/>
    </row>
    <row r="728" spans="1:1" s="824" customFormat="1" x14ac:dyDescent="0.25">
      <c r="A728" s="823"/>
    </row>
    <row r="729" spans="1:1" s="824" customFormat="1" x14ac:dyDescent="0.25">
      <c r="A729" s="823"/>
    </row>
    <row r="730" spans="1:1" s="824" customFormat="1" x14ac:dyDescent="0.25">
      <c r="A730" s="823"/>
    </row>
    <row r="731" spans="1:1" s="824" customFormat="1" x14ac:dyDescent="0.25">
      <c r="A731" s="823"/>
    </row>
    <row r="732" spans="1:1" s="824" customFormat="1" x14ac:dyDescent="0.25">
      <c r="A732" s="823"/>
    </row>
    <row r="733" spans="1:1" s="824" customFormat="1" x14ac:dyDescent="0.25">
      <c r="A733" s="823"/>
    </row>
    <row r="734" spans="1:1" s="824" customFormat="1" x14ac:dyDescent="0.25">
      <c r="A734" s="823"/>
    </row>
    <row r="735" spans="1:1" s="824" customFormat="1" x14ac:dyDescent="0.25">
      <c r="A735" s="823"/>
    </row>
    <row r="736" spans="1:1" s="824" customFormat="1" x14ac:dyDescent="0.25">
      <c r="A736" s="823"/>
    </row>
    <row r="737" spans="1:1" s="824" customFormat="1" x14ac:dyDescent="0.25">
      <c r="A737" s="823"/>
    </row>
    <row r="738" spans="1:1" s="824" customFormat="1" x14ac:dyDescent="0.25">
      <c r="A738" s="823"/>
    </row>
    <row r="739" spans="1:1" s="824" customFormat="1" x14ac:dyDescent="0.25">
      <c r="A739" s="823"/>
    </row>
    <row r="740" spans="1:1" s="824" customFormat="1" x14ac:dyDescent="0.25">
      <c r="A740" s="823"/>
    </row>
    <row r="741" spans="1:1" s="824" customFormat="1" x14ac:dyDescent="0.25">
      <c r="A741" s="823"/>
    </row>
    <row r="742" spans="1:1" s="824" customFormat="1" x14ac:dyDescent="0.25">
      <c r="A742" s="823"/>
    </row>
    <row r="743" spans="1:1" s="824" customFormat="1" x14ac:dyDescent="0.25">
      <c r="A743" s="823"/>
    </row>
    <row r="744" spans="1:1" s="824" customFormat="1" x14ac:dyDescent="0.25">
      <c r="A744" s="823"/>
    </row>
    <row r="745" spans="1:1" s="824" customFormat="1" x14ac:dyDescent="0.25">
      <c r="A745" s="823"/>
    </row>
    <row r="746" spans="1:1" s="824" customFormat="1" x14ac:dyDescent="0.25">
      <c r="A746" s="823"/>
    </row>
    <row r="747" spans="1:1" s="824" customFormat="1" x14ac:dyDescent="0.25">
      <c r="A747" s="823"/>
    </row>
    <row r="748" spans="1:1" s="824" customFormat="1" x14ac:dyDescent="0.25">
      <c r="A748" s="823"/>
    </row>
    <row r="749" spans="1:1" s="824" customFormat="1" x14ac:dyDescent="0.25">
      <c r="A749" s="823"/>
    </row>
    <row r="750" spans="1:1" s="824" customFormat="1" x14ac:dyDescent="0.25">
      <c r="A750" s="823"/>
    </row>
    <row r="751" spans="1:1" s="824" customFormat="1" x14ac:dyDescent="0.25">
      <c r="A751" s="823"/>
    </row>
    <row r="752" spans="1:1" s="824" customFormat="1" x14ac:dyDescent="0.25">
      <c r="A752" s="823"/>
    </row>
    <row r="753" spans="1:1" s="824" customFormat="1" x14ac:dyDescent="0.25">
      <c r="A753" s="823"/>
    </row>
    <row r="754" spans="1:1" s="824" customFormat="1" x14ac:dyDescent="0.25">
      <c r="A754" s="823"/>
    </row>
    <row r="755" spans="1:1" s="824" customFormat="1" x14ac:dyDescent="0.25">
      <c r="A755" s="823"/>
    </row>
    <row r="756" spans="1:1" s="824" customFormat="1" x14ac:dyDescent="0.25">
      <c r="A756" s="823"/>
    </row>
    <row r="757" spans="1:1" s="824" customFormat="1" x14ac:dyDescent="0.25">
      <c r="A757" s="823"/>
    </row>
    <row r="758" spans="1:1" s="824" customFormat="1" x14ac:dyDescent="0.25">
      <c r="A758" s="823"/>
    </row>
    <row r="759" spans="1:1" s="824" customFormat="1" x14ac:dyDescent="0.25">
      <c r="A759" s="823"/>
    </row>
    <row r="760" spans="1:1" s="824" customFormat="1" x14ac:dyDescent="0.25">
      <c r="A760" s="823"/>
    </row>
    <row r="761" spans="1:1" s="824" customFormat="1" x14ac:dyDescent="0.25">
      <c r="A761" s="823"/>
    </row>
    <row r="762" spans="1:1" s="824" customFormat="1" x14ac:dyDescent="0.25">
      <c r="A762" s="823"/>
    </row>
    <row r="763" spans="1:1" s="824" customFormat="1" x14ac:dyDescent="0.25">
      <c r="A763" s="823"/>
    </row>
    <row r="764" spans="1:1" s="824" customFormat="1" x14ac:dyDescent="0.25">
      <c r="A764" s="823"/>
    </row>
    <row r="765" spans="1:1" s="824" customFormat="1" x14ac:dyDescent="0.25">
      <c r="A765" s="823"/>
    </row>
    <row r="766" spans="1:1" s="824" customFormat="1" x14ac:dyDescent="0.25">
      <c r="A766" s="823"/>
    </row>
    <row r="767" spans="1:1" s="824" customFormat="1" x14ac:dyDescent="0.25">
      <c r="A767" s="823"/>
    </row>
    <row r="768" spans="1:1" s="824" customFormat="1" x14ac:dyDescent="0.25">
      <c r="A768" s="823"/>
    </row>
    <row r="769" spans="1:1" s="824" customFormat="1" x14ac:dyDescent="0.25">
      <c r="A769" s="823"/>
    </row>
    <row r="770" spans="1:1" s="824" customFormat="1" x14ac:dyDescent="0.25">
      <c r="A770" s="823"/>
    </row>
    <row r="771" spans="1:1" s="824" customFormat="1" x14ac:dyDescent="0.25">
      <c r="A771" s="823"/>
    </row>
    <row r="772" spans="1:1" s="824" customFormat="1" x14ac:dyDescent="0.25">
      <c r="A772" s="823"/>
    </row>
    <row r="773" spans="1:1" s="824" customFormat="1" x14ac:dyDescent="0.25">
      <c r="A773" s="823"/>
    </row>
    <row r="774" spans="1:1" s="824" customFormat="1" x14ac:dyDescent="0.25">
      <c r="A774" s="823"/>
    </row>
    <row r="775" spans="1:1" s="824" customFormat="1" x14ac:dyDescent="0.25">
      <c r="A775" s="823"/>
    </row>
    <row r="776" spans="1:1" s="824" customFormat="1" x14ac:dyDescent="0.25">
      <c r="A776" s="823"/>
    </row>
    <row r="777" spans="1:1" s="824" customFormat="1" x14ac:dyDescent="0.25">
      <c r="A777" s="823"/>
    </row>
    <row r="778" spans="1:1" s="824" customFormat="1" x14ac:dyDescent="0.25">
      <c r="A778" s="823"/>
    </row>
    <row r="779" spans="1:1" s="824" customFormat="1" x14ac:dyDescent="0.25">
      <c r="A779" s="823"/>
    </row>
    <row r="780" spans="1:1" s="824" customFormat="1" x14ac:dyDescent="0.25">
      <c r="A780" s="823"/>
    </row>
    <row r="781" spans="1:1" s="824" customFormat="1" x14ac:dyDescent="0.25">
      <c r="A781" s="823"/>
    </row>
    <row r="782" spans="1:1" s="824" customFormat="1" x14ac:dyDescent="0.25">
      <c r="A782" s="823"/>
    </row>
    <row r="783" spans="1:1" s="824" customFormat="1" x14ac:dyDescent="0.25">
      <c r="A783" s="823"/>
    </row>
    <row r="784" spans="1:1" s="824" customFormat="1" x14ac:dyDescent="0.25">
      <c r="A784" s="823"/>
    </row>
    <row r="785" spans="1:1" s="824" customFormat="1" x14ac:dyDescent="0.25">
      <c r="A785" s="823"/>
    </row>
    <row r="786" spans="1:1" s="824" customFormat="1" x14ac:dyDescent="0.25">
      <c r="A786" s="823"/>
    </row>
    <row r="787" spans="1:1" s="824" customFormat="1" x14ac:dyDescent="0.25">
      <c r="A787" s="823"/>
    </row>
    <row r="788" spans="1:1" s="824" customFormat="1" x14ac:dyDescent="0.25">
      <c r="A788" s="823"/>
    </row>
    <row r="789" spans="1:1" s="824" customFormat="1" x14ac:dyDescent="0.25">
      <c r="A789" s="823"/>
    </row>
    <row r="790" spans="1:1" s="824" customFormat="1" x14ac:dyDescent="0.25">
      <c r="A790" s="823"/>
    </row>
    <row r="791" spans="1:1" s="824" customFormat="1" x14ac:dyDescent="0.25">
      <c r="A791" s="823"/>
    </row>
    <row r="792" spans="1:1" s="824" customFormat="1" x14ac:dyDescent="0.25">
      <c r="A792" s="823"/>
    </row>
    <row r="793" spans="1:1" s="824" customFormat="1" x14ac:dyDescent="0.25">
      <c r="A793" s="823"/>
    </row>
    <row r="794" spans="1:1" s="824" customFormat="1" x14ac:dyDescent="0.25">
      <c r="A794" s="823"/>
    </row>
    <row r="795" spans="1:1" s="824" customFormat="1" x14ac:dyDescent="0.25">
      <c r="A795" s="823"/>
    </row>
    <row r="796" spans="1:1" s="824" customFormat="1" x14ac:dyDescent="0.25">
      <c r="A796" s="823"/>
    </row>
    <row r="797" spans="1:1" s="824" customFormat="1" x14ac:dyDescent="0.25">
      <c r="A797" s="823"/>
    </row>
    <row r="798" spans="1:1" s="824" customFormat="1" x14ac:dyDescent="0.25">
      <c r="A798" s="823"/>
    </row>
    <row r="799" spans="1:1" s="824" customFormat="1" x14ac:dyDescent="0.25">
      <c r="A799" s="823"/>
    </row>
    <row r="800" spans="1:1" s="824" customFormat="1" x14ac:dyDescent="0.25">
      <c r="A800" s="823"/>
    </row>
    <row r="801" spans="1:1" s="824" customFormat="1" x14ac:dyDescent="0.25">
      <c r="A801" s="823"/>
    </row>
    <row r="802" spans="1:1" s="824" customFormat="1" x14ac:dyDescent="0.25">
      <c r="A802" s="823"/>
    </row>
    <row r="803" spans="1:1" s="824" customFormat="1" x14ac:dyDescent="0.25">
      <c r="A803" s="823"/>
    </row>
    <row r="804" spans="1:1" s="824" customFormat="1" x14ac:dyDescent="0.25">
      <c r="A804" s="823"/>
    </row>
    <row r="805" spans="1:1" s="824" customFormat="1" x14ac:dyDescent="0.25">
      <c r="A805" s="823"/>
    </row>
    <row r="806" spans="1:1" s="824" customFormat="1" x14ac:dyDescent="0.25">
      <c r="A806" s="823"/>
    </row>
    <row r="807" spans="1:1" s="824" customFormat="1" x14ac:dyDescent="0.25">
      <c r="A807" s="823"/>
    </row>
    <row r="808" spans="1:1" s="824" customFormat="1" x14ac:dyDescent="0.25">
      <c r="A808" s="823"/>
    </row>
    <row r="809" spans="1:1" s="824" customFormat="1" x14ac:dyDescent="0.25">
      <c r="A809" s="823"/>
    </row>
    <row r="810" spans="1:1" s="824" customFormat="1" x14ac:dyDescent="0.25">
      <c r="A810" s="823"/>
    </row>
    <row r="811" spans="1:1" s="824" customFormat="1" x14ac:dyDescent="0.25">
      <c r="A811" s="823"/>
    </row>
    <row r="812" spans="1:1" s="824" customFormat="1" x14ac:dyDescent="0.25">
      <c r="A812" s="823"/>
    </row>
    <row r="813" spans="1:1" s="824" customFormat="1" x14ac:dyDescent="0.25">
      <c r="A813" s="823"/>
    </row>
    <row r="814" spans="1:1" s="824" customFormat="1" x14ac:dyDescent="0.25">
      <c r="A814" s="823"/>
    </row>
    <row r="815" spans="1:1" s="824" customFormat="1" x14ac:dyDescent="0.25">
      <c r="A815" s="823"/>
    </row>
    <row r="816" spans="1:1" s="824" customFormat="1" x14ac:dyDescent="0.25">
      <c r="A816" s="823"/>
    </row>
    <row r="817" spans="1:1" s="824" customFormat="1" x14ac:dyDescent="0.25">
      <c r="A817" s="823"/>
    </row>
    <row r="818" spans="1:1" s="824" customFormat="1" x14ac:dyDescent="0.25">
      <c r="A818" s="823"/>
    </row>
    <row r="819" spans="1:1" s="824" customFormat="1" x14ac:dyDescent="0.25">
      <c r="A819" s="823"/>
    </row>
    <row r="820" spans="1:1" s="824" customFormat="1" x14ac:dyDescent="0.25">
      <c r="A820" s="823"/>
    </row>
    <row r="821" spans="1:1" s="824" customFormat="1" x14ac:dyDescent="0.25">
      <c r="A821" s="823"/>
    </row>
    <row r="822" spans="1:1" s="824" customFormat="1" x14ac:dyDescent="0.25">
      <c r="A822" s="823"/>
    </row>
    <row r="823" spans="1:1" s="824" customFormat="1" x14ac:dyDescent="0.25">
      <c r="A823" s="823"/>
    </row>
    <row r="824" spans="1:1" s="824" customFormat="1" x14ac:dyDescent="0.25">
      <c r="A824" s="823"/>
    </row>
    <row r="825" spans="1:1" s="824" customFormat="1" x14ac:dyDescent="0.25">
      <c r="A825" s="823"/>
    </row>
    <row r="826" spans="1:1" s="824" customFormat="1" x14ac:dyDescent="0.25">
      <c r="A826" s="823"/>
    </row>
    <row r="827" spans="1:1" s="824" customFormat="1" x14ac:dyDescent="0.25">
      <c r="A827" s="823"/>
    </row>
    <row r="828" spans="1:1" s="824" customFormat="1" x14ac:dyDescent="0.25">
      <c r="A828" s="823"/>
    </row>
    <row r="829" spans="1:1" s="824" customFormat="1" x14ac:dyDescent="0.25">
      <c r="A829" s="823"/>
    </row>
    <row r="830" spans="1:1" s="824" customFormat="1" x14ac:dyDescent="0.25">
      <c r="A830" s="823"/>
    </row>
    <row r="831" spans="1:1" s="824" customFormat="1" x14ac:dyDescent="0.25">
      <c r="A831" s="823"/>
    </row>
    <row r="832" spans="1:1" s="824" customFormat="1" x14ac:dyDescent="0.25">
      <c r="A832" s="823"/>
    </row>
    <row r="833" spans="1:1" s="824" customFormat="1" x14ac:dyDescent="0.25">
      <c r="A833" s="823"/>
    </row>
    <row r="834" spans="1:1" s="824" customFormat="1" x14ac:dyDescent="0.25">
      <c r="A834" s="823"/>
    </row>
    <row r="835" spans="1:1" s="824" customFormat="1" x14ac:dyDescent="0.25">
      <c r="A835" s="823"/>
    </row>
    <row r="836" spans="1:1" s="824" customFormat="1" x14ac:dyDescent="0.25">
      <c r="A836" s="823"/>
    </row>
    <row r="837" spans="1:1" s="824" customFormat="1" x14ac:dyDescent="0.25">
      <c r="A837" s="823"/>
    </row>
    <row r="838" spans="1:1" s="824" customFormat="1" x14ac:dyDescent="0.25">
      <c r="A838" s="823"/>
    </row>
    <row r="839" spans="1:1" s="824" customFormat="1" x14ac:dyDescent="0.25">
      <c r="A839" s="823"/>
    </row>
    <row r="840" spans="1:1" s="824" customFormat="1" x14ac:dyDescent="0.25">
      <c r="A840" s="823"/>
    </row>
    <row r="841" spans="1:1" s="824" customFormat="1" x14ac:dyDescent="0.25">
      <c r="A841" s="823"/>
    </row>
    <row r="842" spans="1:1" s="824" customFormat="1" x14ac:dyDescent="0.25">
      <c r="A842" s="823"/>
    </row>
    <row r="843" spans="1:1" s="824" customFormat="1" x14ac:dyDescent="0.25">
      <c r="A843" s="823"/>
    </row>
    <row r="844" spans="1:1" s="824" customFormat="1" x14ac:dyDescent="0.25">
      <c r="A844" s="823"/>
    </row>
    <row r="845" spans="1:1" s="824" customFormat="1" x14ac:dyDescent="0.25">
      <c r="A845" s="823"/>
    </row>
    <row r="846" spans="1:1" s="824" customFormat="1" x14ac:dyDescent="0.25">
      <c r="A846" s="823"/>
    </row>
    <row r="847" spans="1:1" s="824" customFormat="1" x14ac:dyDescent="0.25">
      <c r="A847" s="823"/>
    </row>
    <row r="848" spans="1:1" s="824" customFormat="1" x14ac:dyDescent="0.25">
      <c r="A848" s="823"/>
    </row>
    <row r="849" spans="1:1" s="824" customFormat="1" x14ac:dyDescent="0.25">
      <c r="A849" s="823"/>
    </row>
    <row r="850" spans="1:1" s="824" customFormat="1" x14ac:dyDescent="0.25">
      <c r="A850" s="823"/>
    </row>
    <row r="851" spans="1:1" s="824" customFormat="1" x14ac:dyDescent="0.25">
      <c r="A851" s="823"/>
    </row>
    <row r="852" spans="1:1" s="824" customFormat="1" x14ac:dyDescent="0.25">
      <c r="A852" s="823"/>
    </row>
    <row r="853" spans="1:1" s="824" customFormat="1" x14ac:dyDescent="0.25">
      <c r="A853" s="823"/>
    </row>
    <row r="854" spans="1:1" s="824" customFormat="1" x14ac:dyDescent="0.25">
      <c r="A854" s="823"/>
    </row>
    <row r="855" spans="1:1" s="824" customFormat="1" x14ac:dyDescent="0.25">
      <c r="A855" s="823"/>
    </row>
    <row r="856" spans="1:1" s="824" customFormat="1" x14ac:dyDescent="0.25">
      <c r="A856" s="823"/>
    </row>
    <row r="857" spans="1:1" s="824" customFormat="1" x14ac:dyDescent="0.25">
      <c r="A857" s="823"/>
    </row>
    <row r="858" spans="1:1" s="824" customFormat="1" x14ac:dyDescent="0.25">
      <c r="A858" s="823"/>
    </row>
    <row r="859" spans="1:1" s="824" customFormat="1" x14ac:dyDescent="0.25">
      <c r="A859" s="823"/>
    </row>
    <row r="860" spans="1:1" s="824" customFormat="1" x14ac:dyDescent="0.25">
      <c r="A860" s="823"/>
    </row>
    <row r="861" spans="1:1" s="824" customFormat="1" x14ac:dyDescent="0.25">
      <c r="A861" s="823"/>
    </row>
    <row r="862" spans="1:1" s="824" customFormat="1" x14ac:dyDescent="0.25">
      <c r="A862" s="823"/>
    </row>
    <row r="863" spans="1:1" s="824" customFormat="1" x14ac:dyDescent="0.25">
      <c r="A863" s="823"/>
    </row>
    <row r="864" spans="1:1" s="824" customFormat="1" x14ac:dyDescent="0.25">
      <c r="A864" s="823"/>
    </row>
    <row r="865" spans="1:1" s="824" customFormat="1" x14ac:dyDescent="0.25">
      <c r="A865" s="823"/>
    </row>
    <row r="866" spans="1:1" s="824" customFormat="1" x14ac:dyDescent="0.25">
      <c r="A866" s="823"/>
    </row>
    <row r="867" spans="1:1" s="824" customFormat="1" x14ac:dyDescent="0.25">
      <c r="A867" s="823"/>
    </row>
    <row r="868" spans="1:1" s="824" customFormat="1" x14ac:dyDescent="0.25">
      <c r="A868" s="823"/>
    </row>
    <row r="869" spans="1:1" s="824" customFormat="1" x14ac:dyDescent="0.25">
      <c r="A869" s="823"/>
    </row>
    <row r="870" spans="1:1" s="824" customFormat="1" x14ac:dyDescent="0.25">
      <c r="A870" s="823"/>
    </row>
    <row r="871" spans="1:1" s="824" customFormat="1" x14ac:dyDescent="0.25">
      <c r="A871" s="823"/>
    </row>
    <row r="872" spans="1:1" s="824" customFormat="1" x14ac:dyDescent="0.25">
      <c r="A872" s="823"/>
    </row>
    <row r="873" spans="1:1" s="824" customFormat="1" x14ac:dyDescent="0.25">
      <c r="A873" s="823"/>
    </row>
    <row r="874" spans="1:1" s="824" customFormat="1" x14ac:dyDescent="0.25">
      <c r="A874" s="823"/>
    </row>
    <row r="875" spans="1:1" s="824" customFormat="1" x14ac:dyDescent="0.25">
      <c r="A875" s="823"/>
    </row>
    <row r="876" spans="1:1" s="824" customFormat="1" x14ac:dyDescent="0.25">
      <c r="A876" s="823"/>
    </row>
    <row r="877" spans="1:1" s="824" customFormat="1" x14ac:dyDescent="0.25">
      <c r="A877" s="823"/>
    </row>
    <row r="878" spans="1:1" s="824" customFormat="1" x14ac:dyDescent="0.25">
      <c r="A878" s="823"/>
    </row>
    <row r="879" spans="1:1" s="824" customFormat="1" x14ac:dyDescent="0.25">
      <c r="A879" s="823"/>
    </row>
    <row r="880" spans="1:1" s="824" customFormat="1" x14ac:dyDescent="0.25">
      <c r="A880" s="823"/>
    </row>
    <row r="881" spans="1:1" s="824" customFormat="1" x14ac:dyDescent="0.25">
      <c r="A881" s="823"/>
    </row>
    <row r="882" spans="1:1" s="824" customFormat="1" x14ac:dyDescent="0.25">
      <c r="A882" s="823"/>
    </row>
    <row r="883" spans="1:1" s="824" customFormat="1" x14ac:dyDescent="0.25">
      <c r="A883" s="823"/>
    </row>
    <row r="884" spans="1:1" s="824" customFormat="1" x14ac:dyDescent="0.25">
      <c r="A884" s="823"/>
    </row>
    <row r="885" spans="1:1" s="824" customFormat="1" x14ac:dyDescent="0.25">
      <c r="A885" s="823"/>
    </row>
    <row r="886" spans="1:1" s="824" customFormat="1" x14ac:dyDescent="0.25">
      <c r="A886" s="823"/>
    </row>
    <row r="887" spans="1:1" s="824" customFormat="1" x14ac:dyDescent="0.25">
      <c r="A887" s="823"/>
    </row>
    <row r="888" spans="1:1" s="824" customFormat="1" x14ac:dyDescent="0.25">
      <c r="A888" s="823"/>
    </row>
    <row r="889" spans="1:1" s="824" customFormat="1" x14ac:dyDescent="0.25">
      <c r="A889" s="823"/>
    </row>
    <row r="890" spans="1:1" s="824" customFormat="1" x14ac:dyDescent="0.25">
      <c r="A890" s="823"/>
    </row>
    <row r="891" spans="1:1" s="824" customFormat="1" x14ac:dyDescent="0.25">
      <c r="A891" s="823"/>
    </row>
    <row r="892" spans="1:1" s="824" customFormat="1" x14ac:dyDescent="0.25">
      <c r="A892" s="823"/>
    </row>
    <row r="893" spans="1:1" s="824" customFormat="1" x14ac:dyDescent="0.25">
      <c r="A893" s="823"/>
    </row>
    <row r="894" spans="1:1" s="824" customFormat="1" x14ac:dyDescent="0.25">
      <c r="A894" s="823"/>
    </row>
    <row r="895" spans="1:1" s="824" customFormat="1" x14ac:dyDescent="0.25">
      <c r="A895" s="823"/>
    </row>
    <row r="896" spans="1:1" s="824" customFormat="1" x14ac:dyDescent="0.25">
      <c r="A896" s="823"/>
    </row>
    <row r="897" spans="1:1" s="824" customFormat="1" x14ac:dyDescent="0.25">
      <c r="A897" s="823"/>
    </row>
    <row r="898" spans="1:1" s="824" customFormat="1" x14ac:dyDescent="0.25">
      <c r="A898" s="823"/>
    </row>
    <row r="899" spans="1:1" s="824" customFormat="1" x14ac:dyDescent="0.25">
      <c r="A899" s="823"/>
    </row>
    <row r="900" spans="1:1" s="824" customFormat="1" x14ac:dyDescent="0.25">
      <c r="A900" s="823"/>
    </row>
    <row r="901" spans="1:1" s="824" customFormat="1" x14ac:dyDescent="0.25">
      <c r="A901" s="823"/>
    </row>
    <row r="902" spans="1:1" s="824" customFormat="1" x14ac:dyDescent="0.25">
      <c r="A902" s="823"/>
    </row>
    <row r="903" spans="1:1" s="824" customFormat="1" x14ac:dyDescent="0.25">
      <c r="A903" s="823"/>
    </row>
    <row r="904" spans="1:1" s="824" customFormat="1" x14ac:dyDescent="0.25">
      <c r="A904" s="823"/>
    </row>
    <row r="905" spans="1:1" s="824" customFormat="1" x14ac:dyDescent="0.25">
      <c r="A905" s="823"/>
    </row>
    <row r="906" spans="1:1" s="824" customFormat="1" x14ac:dyDescent="0.25">
      <c r="A906" s="823"/>
    </row>
    <row r="907" spans="1:1" s="824" customFormat="1" x14ac:dyDescent="0.25">
      <c r="A907" s="823"/>
    </row>
    <row r="908" spans="1:1" s="824" customFormat="1" x14ac:dyDescent="0.25">
      <c r="A908" s="823"/>
    </row>
    <row r="909" spans="1:1" s="824" customFormat="1" x14ac:dyDescent="0.25">
      <c r="A909" s="823"/>
    </row>
    <row r="910" spans="1:1" s="824" customFormat="1" x14ac:dyDescent="0.25">
      <c r="A910" s="823"/>
    </row>
    <row r="911" spans="1:1" s="824" customFormat="1" x14ac:dyDescent="0.25">
      <c r="A911" s="823"/>
    </row>
    <row r="912" spans="1:1" s="824" customFormat="1" x14ac:dyDescent="0.25">
      <c r="A912" s="823"/>
    </row>
    <row r="913" spans="1:1" s="824" customFormat="1" x14ac:dyDescent="0.25">
      <c r="A913" s="823"/>
    </row>
    <row r="914" spans="1:1" s="824" customFormat="1" x14ac:dyDescent="0.25">
      <c r="A914" s="823"/>
    </row>
    <row r="915" spans="1:1" s="824" customFormat="1" x14ac:dyDescent="0.25">
      <c r="A915" s="823"/>
    </row>
    <row r="916" spans="1:1" s="824" customFormat="1" x14ac:dyDescent="0.25">
      <c r="A916" s="823"/>
    </row>
    <row r="917" spans="1:1" s="824" customFormat="1" x14ac:dyDescent="0.25">
      <c r="A917" s="823"/>
    </row>
    <row r="918" spans="1:1" s="824" customFormat="1" x14ac:dyDescent="0.25">
      <c r="A918" s="823"/>
    </row>
    <row r="919" spans="1:1" s="824" customFormat="1" x14ac:dyDescent="0.25">
      <c r="A919" s="823"/>
    </row>
    <row r="920" spans="1:1" s="824" customFormat="1" x14ac:dyDescent="0.25">
      <c r="A920" s="823"/>
    </row>
    <row r="921" spans="1:1" s="824" customFormat="1" x14ac:dyDescent="0.25">
      <c r="A921" s="823"/>
    </row>
    <row r="922" spans="1:1" s="824" customFormat="1" x14ac:dyDescent="0.25">
      <c r="A922" s="823"/>
    </row>
    <row r="923" spans="1:1" s="824" customFormat="1" x14ac:dyDescent="0.25">
      <c r="A923" s="823"/>
    </row>
    <row r="924" spans="1:1" s="824" customFormat="1" x14ac:dyDescent="0.25">
      <c r="A924" s="823"/>
    </row>
    <row r="925" spans="1:1" s="824" customFormat="1" x14ac:dyDescent="0.25">
      <c r="A925" s="823"/>
    </row>
    <row r="926" spans="1:1" s="824" customFormat="1" x14ac:dyDescent="0.25">
      <c r="A926" s="823"/>
    </row>
    <row r="927" spans="1:1" s="824" customFormat="1" x14ac:dyDescent="0.25">
      <c r="A927" s="823"/>
    </row>
    <row r="928" spans="1:1" s="824" customFormat="1" x14ac:dyDescent="0.25">
      <c r="A928" s="823"/>
    </row>
    <row r="929" spans="1:1" s="824" customFormat="1" x14ac:dyDescent="0.25">
      <c r="A929" s="823"/>
    </row>
    <row r="930" spans="1:1" s="824" customFormat="1" x14ac:dyDescent="0.25">
      <c r="A930" s="823"/>
    </row>
    <row r="931" spans="1:1" s="824" customFormat="1" x14ac:dyDescent="0.25">
      <c r="A931" s="823"/>
    </row>
    <row r="932" spans="1:1" s="824" customFormat="1" x14ac:dyDescent="0.25">
      <c r="A932" s="823"/>
    </row>
    <row r="933" spans="1:1" s="824" customFormat="1" x14ac:dyDescent="0.25">
      <c r="A933" s="823"/>
    </row>
    <row r="934" spans="1:1" s="824" customFormat="1" x14ac:dyDescent="0.25">
      <c r="A934" s="823"/>
    </row>
    <row r="935" spans="1:1" s="824" customFormat="1" x14ac:dyDescent="0.25">
      <c r="A935" s="823"/>
    </row>
    <row r="936" spans="1:1" s="824" customFormat="1" x14ac:dyDescent="0.25">
      <c r="A936" s="823"/>
    </row>
    <row r="937" spans="1:1" s="824" customFormat="1" x14ac:dyDescent="0.25">
      <c r="A937" s="823"/>
    </row>
    <row r="938" spans="1:1" s="824" customFormat="1" x14ac:dyDescent="0.25">
      <c r="A938" s="823"/>
    </row>
    <row r="939" spans="1:1" s="824" customFormat="1" x14ac:dyDescent="0.25">
      <c r="A939" s="823"/>
    </row>
    <row r="940" spans="1:1" s="824" customFormat="1" x14ac:dyDescent="0.25">
      <c r="A940" s="823"/>
    </row>
    <row r="941" spans="1:1" s="824" customFormat="1" x14ac:dyDescent="0.25">
      <c r="A941" s="823"/>
    </row>
    <row r="942" spans="1:1" s="824" customFormat="1" x14ac:dyDescent="0.25">
      <c r="A942" s="823"/>
    </row>
    <row r="943" spans="1:1" s="824" customFormat="1" x14ac:dyDescent="0.25">
      <c r="A943" s="823"/>
    </row>
    <row r="944" spans="1:1" s="824" customFormat="1" x14ac:dyDescent="0.25">
      <c r="A944" s="823"/>
    </row>
    <row r="945" spans="1:1" s="824" customFormat="1" x14ac:dyDescent="0.25">
      <c r="A945" s="823"/>
    </row>
    <row r="946" spans="1:1" s="824" customFormat="1" x14ac:dyDescent="0.25">
      <c r="A946" s="823"/>
    </row>
    <row r="947" spans="1:1" s="824" customFormat="1" x14ac:dyDescent="0.25">
      <c r="A947" s="823"/>
    </row>
    <row r="948" spans="1:1" s="824" customFormat="1" x14ac:dyDescent="0.25">
      <c r="A948" s="823"/>
    </row>
    <row r="949" spans="1:1" s="824" customFormat="1" x14ac:dyDescent="0.25">
      <c r="A949" s="823"/>
    </row>
    <row r="950" spans="1:1" s="824" customFormat="1" x14ac:dyDescent="0.25">
      <c r="A950" s="823"/>
    </row>
    <row r="951" spans="1:1" s="824" customFormat="1" x14ac:dyDescent="0.25">
      <c r="A951" s="823"/>
    </row>
    <row r="952" spans="1:1" s="824" customFormat="1" x14ac:dyDescent="0.25">
      <c r="A952" s="823"/>
    </row>
    <row r="953" spans="1:1" s="824" customFormat="1" x14ac:dyDescent="0.25">
      <c r="A953" s="823"/>
    </row>
    <row r="954" spans="1:1" s="824" customFormat="1" x14ac:dyDescent="0.25">
      <c r="A954" s="823"/>
    </row>
    <row r="955" spans="1:1" s="824" customFormat="1" x14ac:dyDescent="0.25">
      <c r="A955" s="823"/>
    </row>
    <row r="956" spans="1:1" s="824" customFormat="1" x14ac:dyDescent="0.25">
      <c r="A956" s="823"/>
    </row>
    <row r="957" spans="1:1" s="824" customFormat="1" x14ac:dyDescent="0.25">
      <c r="A957" s="823"/>
    </row>
    <row r="958" spans="1:1" s="824" customFormat="1" x14ac:dyDescent="0.25">
      <c r="A958" s="823"/>
    </row>
    <row r="959" spans="1:1" s="824" customFormat="1" x14ac:dyDescent="0.25">
      <c r="A959" s="823"/>
    </row>
    <row r="960" spans="1:1" s="824" customFormat="1" x14ac:dyDescent="0.25">
      <c r="A960" s="823"/>
    </row>
    <row r="961" spans="1:1" s="824" customFormat="1" x14ac:dyDescent="0.25">
      <c r="A961" s="823"/>
    </row>
    <row r="962" spans="1:1" s="824" customFormat="1" x14ac:dyDescent="0.25">
      <c r="A962" s="823"/>
    </row>
    <row r="963" spans="1:1" s="824" customFormat="1" x14ac:dyDescent="0.25">
      <c r="A963" s="823"/>
    </row>
    <row r="964" spans="1:1" s="824" customFormat="1" x14ac:dyDescent="0.25">
      <c r="A964" s="823"/>
    </row>
    <row r="965" spans="1:1" s="824" customFormat="1" x14ac:dyDescent="0.25">
      <c r="A965" s="823"/>
    </row>
    <row r="966" spans="1:1" s="824" customFormat="1" x14ac:dyDescent="0.25">
      <c r="A966" s="823"/>
    </row>
    <row r="967" spans="1:1" s="824" customFormat="1" x14ac:dyDescent="0.25">
      <c r="A967" s="823"/>
    </row>
    <row r="968" spans="1:1" s="824" customFormat="1" x14ac:dyDescent="0.25">
      <c r="A968" s="823"/>
    </row>
    <row r="969" spans="1:1" s="824" customFormat="1" x14ac:dyDescent="0.25">
      <c r="A969" s="823"/>
    </row>
    <row r="970" spans="1:1" s="824" customFormat="1" x14ac:dyDescent="0.25">
      <c r="A970" s="823"/>
    </row>
    <row r="971" spans="1:1" s="824" customFormat="1" x14ac:dyDescent="0.25">
      <c r="A971" s="823"/>
    </row>
    <row r="972" spans="1:1" s="824" customFormat="1" x14ac:dyDescent="0.25">
      <c r="A972" s="823"/>
    </row>
    <row r="973" spans="1:1" s="824" customFormat="1" x14ac:dyDescent="0.25">
      <c r="A973" s="823"/>
    </row>
    <row r="974" spans="1:1" s="824" customFormat="1" x14ac:dyDescent="0.25">
      <c r="A974" s="823"/>
    </row>
    <row r="975" spans="1:1" s="824" customFormat="1" x14ac:dyDescent="0.25">
      <c r="A975" s="823"/>
    </row>
    <row r="976" spans="1:1" s="824" customFormat="1" x14ac:dyDescent="0.25">
      <c r="A976" s="823"/>
    </row>
    <row r="977" spans="1:1" s="824" customFormat="1" x14ac:dyDescent="0.25">
      <c r="A977" s="823"/>
    </row>
    <row r="978" spans="1:1" s="824" customFormat="1" x14ac:dyDescent="0.25">
      <c r="A978" s="823"/>
    </row>
    <row r="979" spans="1:1" s="824" customFormat="1" x14ac:dyDescent="0.25">
      <c r="A979" s="823"/>
    </row>
    <row r="980" spans="1:1" s="824" customFormat="1" x14ac:dyDescent="0.25">
      <c r="A980" s="823"/>
    </row>
    <row r="981" spans="1:1" s="824" customFormat="1" x14ac:dyDescent="0.25">
      <c r="A981" s="823"/>
    </row>
    <row r="982" spans="1:1" s="824" customFormat="1" x14ac:dyDescent="0.25">
      <c r="A982" s="823"/>
    </row>
    <row r="983" spans="1:1" s="824" customFormat="1" x14ac:dyDescent="0.25">
      <c r="A983" s="823"/>
    </row>
    <row r="984" spans="1:1" s="824" customFormat="1" x14ac:dyDescent="0.25">
      <c r="A984" s="823"/>
    </row>
    <row r="985" spans="1:1" s="824" customFormat="1" x14ac:dyDescent="0.25">
      <c r="A985" s="823"/>
    </row>
    <row r="986" spans="1:1" s="824" customFormat="1" x14ac:dyDescent="0.25">
      <c r="A986" s="823"/>
    </row>
    <row r="987" spans="1:1" s="824" customFormat="1" x14ac:dyDescent="0.25">
      <c r="A987" s="823"/>
    </row>
    <row r="988" spans="1:1" s="824" customFormat="1" x14ac:dyDescent="0.25">
      <c r="A988" s="823"/>
    </row>
    <row r="989" spans="1:1" s="824" customFormat="1" x14ac:dyDescent="0.25">
      <c r="A989" s="823"/>
    </row>
    <row r="990" spans="1:1" s="824" customFormat="1" x14ac:dyDescent="0.25">
      <c r="A990" s="823"/>
    </row>
    <row r="991" spans="1:1" s="824" customFormat="1" x14ac:dyDescent="0.25">
      <c r="A991" s="823"/>
    </row>
    <row r="992" spans="1:1" s="824" customFormat="1" x14ac:dyDescent="0.25">
      <c r="A992" s="823"/>
    </row>
    <row r="993" spans="1:1" s="824" customFormat="1" x14ac:dyDescent="0.25">
      <c r="A993" s="823"/>
    </row>
    <row r="994" spans="1:1" s="824" customFormat="1" x14ac:dyDescent="0.25">
      <c r="A994" s="823"/>
    </row>
    <row r="995" spans="1:1" s="824" customFormat="1" x14ac:dyDescent="0.25">
      <c r="A995" s="823"/>
    </row>
    <row r="996" spans="1:1" s="824" customFormat="1" x14ac:dyDescent="0.25">
      <c r="A996" s="823"/>
    </row>
    <row r="997" spans="1:1" s="824" customFormat="1" x14ac:dyDescent="0.25">
      <c r="A997" s="823"/>
    </row>
    <row r="998" spans="1:1" s="824" customFormat="1" x14ac:dyDescent="0.25">
      <c r="A998" s="823"/>
    </row>
    <row r="999" spans="1:1" s="824" customFormat="1" x14ac:dyDescent="0.25">
      <c r="A999" s="823"/>
    </row>
    <row r="1000" spans="1:1" s="824" customFormat="1" x14ac:dyDescent="0.25">
      <c r="A1000" s="823"/>
    </row>
    <row r="1001" spans="1:1" s="824" customFormat="1" x14ac:dyDescent="0.25">
      <c r="A1001" s="823"/>
    </row>
    <row r="1002" spans="1:1" s="824" customFormat="1" x14ac:dyDescent="0.25">
      <c r="A1002" s="823"/>
    </row>
    <row r="1003" spans="1:1" s="824" customFormat="1" x14ac:dyDescent="0.25">
      <c r="A1003" s="823"/>
    </row>
    <row r="1004" spans="1:1" s="824" customFormat="1" x14ac:dyDescent="0.25">
      <c r="A1004" s="823"/>
    </row>
    <row r="1005" spans="1:1" s="824" customFormat="1" x14ac:dyDescent="0.25">
      <c r="A1005" s="823"/>
    </row>
    <row r="1006" spans="1:1" s="824" customFormat="1" x14ac:dyDescent="0.25">
      <c r="A1006" s="823"/>
    </row>
    <row r="1007" spans="1:1" s="824" customFormat="1" x14ac:dyDescent="0.25">
      <c r="A1007" s="823"/>
    </row>
    <row r="1008" spans="1:1" s="824" customFormat="1" x14ac:dyDescent="0.25">
      <c r="A1008" s="823"/>
    </row>
    <row r="1009" spans="1:1" s="824" customFormat="1" x14ac:dyDescent="0.25">
      <c r="A1009" s="823"/>
    </row>
    <row r="1010" spans="1:1" s="824" customFormat="1" x14ac:dyDescent="0.25">
      <c r="A1010" s="823"/>
    </row>
    <row r="1011" spans="1:1" s="824" customFormat="1" x14ac:dyDescent="0.25">
      <c r="A1011" s="823"/>
    </row>
    <row r="1012" spans="1:1" s="824" customFormat="1" x14ac:dyDescent="0.25">
      <c r="A1012" s="823"/>
    </row>
    <row r="1013" spans="1:1" s="824" customFormat="1" x14ac:dyDescent="0.25">
      <c r="A1013" s="823"/>
    </row>
    <row r="1014" spans="1:1" s="824" customFormat="1" x14ac:dyDescent="0.25">
      <c r="A1014" s="823"/>
    </row>
    <row r="1015" spans="1:1" s="824" customFormat="1" x14ac:dyDescent="0.25">
      <c r="A1015" s="823"/>
    </row>
    <row r="1016" spans="1:1" s="824" customFormat="1" x14ac:dyDescent="0.25">
      <c r="A1016" s="823"/>
    </row>
    <row r="1017" spans="1:1" s="824" customFormat="1" x14ac:dyDescent="0.25">
      <c r="A1017" s="823"/>
    </row>
    <row r="1018" spans="1:1" s="824" customFormat="1" x14ac:dyDescent="0.25">
      <c r="A1018" s="823"/>
    </row>
    <row r="1019" spans="1:1" s="824" customFormat="1" x14ac:dyDescent="0.25">
      <c r="A1019" s="823"/>
    </row>
    <row r="1020" spans="1:1" s="824" customFormat="1" x14ac:dyDescent="0.25">
      <c r="A1020" s="823"/>
    </row>
    <row r="1021" spans="1:1" s="824" customFormat="1" x14ac:dyDescent="0.25">
      <c r="A1021" s="823"/>
    </row>
    <row r="1022" spans="1:1" s="824" customFormat="1" x14ac:dyDescent="0.25">
      <c r="A1022" s="823"/>
    </row>
    <row r="1023" spans="1:1" s="824" customFormat="1" x14ac:dyDescent="0.25">
      <c r="A1023" s="823"/>
    </row>
    <row r="1024" spans="1:1" s="824" customFormat="1" x14ac:dyDescent="0.25">
      <c r="A1024" s="823"/>
    </row>
    <row r="1025" spans="1:1" s="824" customFormat="1" x14ac:dyDescent="0.25">
      <c r="A1025" s="823"/>
    </row>
    <row r="1026" spans="1:1" s="824" customFormat="1" x14ac:dyDescent="0.25">
      <c r="A1026" s="823"/>
    </row>
    <row r="1027" spans="1:1" s="824" customFormat="1" x14ac:dyDescent="0.25">
      <c r="A1027" s="823"/>
    </row>
    <row r="1028" spans="1:1" s="824" customFormat="1" x14ac:dyDescent="0.25">
      <c r="A1028" s="823"/>
    </row>
    <row r="1029" spans="1:1" s="824" customFormat="1" x14ac:dyDescent="0.25">
      <c r="A1029" s="823"/>
    </row>
    <row r="1030" spans="1:1" s="824" customFormat="1" x14ac:dyDescent="0.25">
      <c r="A1030" s="823"/>
    </row>
    <row r="1031" spans="1:1" s="824" customFormat="1" x14ac:dyDescent="0.25">
      <c r="A1031" s="823"/>
    </row>
    <row r="1032" spans="1:1" s="824" customFormat="1" x14ac:dyDescent="0.25">
      <c r="A1032" s="823"/>
    </row>
    <row r="1033" spans="1:1" s="824" customFormat="1" x14ac:dyDescent="0.25">
      <c r="A1033" s="823"/>
    </row>
    <row r="1034" spans="1:1" s="824" customFormat="1" x14ac:dyDescent="0.25">
      <c r="A1034" s="823"/>
    </row>
    <row r="1035" spans="1:1" s="824" customFormat="1" x14ac:dyDescent="0.25">
      <c r="A1035" s="823"/>
    </row>
    <row r="1036" spans="1:1" s="824" customFormat="1" x14ac:dyDescent="0.25">
      <c r="A1036" s="823"/>
    </row>
    <row r="1037" spans="1:1" s="824" customFormat="1" x14ac:dyDescent="0.25">
      <c r="A1037" s="823"/>
    </row>
    <row r="1038" spans="1:1" s="824" customFormat="1" x14ac:dyDescent="0.25">
      <c r="A1038" s="823"/>
    </row>
    <row r="1039" spans="1:1" s="824" customFormat="1" x14ac:dyDescent="0.25">
      <c r="A1039" s="823"/>
    </row>
    <row r="1040" spans="1:1" s="824" customFormat="1" x14ac:dyDescent="0.25">
      <c r="A1040" s="823"/>
    </row>
    <row r="1041" spans="1:1" s="824" customFormat="1" x14ac:dyDescent="0.25">
      <c r="A1041" s="823"/>
    </row>
    <row r="1042" spans="1:1" s="824" customFormat="1" x14ac:dyDescent="0.25">
      <c r="A1042" s="823"/>
    </row>
    <row r="1043" spans="1:1" s="824" customFormat="1" x14ac:dyDescent="0.25">
      <c r="A1043" s="823"/>
    </row>
    <row r="1044" spans="1:1" s="824" customFormat="1" x14ac:dyDescent="0.25">
      <c r="A1044" s="823"/>
    </row>
    <row r="1045" spans="1:1" s="824" customFormat="1" x14ac:dyDescent="0.25">
      <c r="A1045" s="823"/>
    </row>
    <row r="1046" spans="1:1" s="824" customFormat="1" x14ac:dyDescent="0.25">
      <c r="A1046" s="823"/>
    </row>
    <row r="1047" spans="1:1" s="824" customFormat="1" x14ac:dyDescent="0.25">
      <c r="A1047" s="823"/>
    </row>
    <row r="1048" spans="1:1" s="824" customFormat="1" x14ac:dyDescent="0.25">
      <c r="A1048" s="823"/>
    </row>
    <row r="1049" spans="1:1" s="824" customFormat="1" x14ac:dyDescent="0.25">
      <c r="A1049" s="823"/>
    </row>
    <row r="1050" spans="1:1" s="824" customFormat="1" x14ac:dyDescent="0.25">
      <c r="A1050" s="823"/>
    </row>
    <row r="1051" spans="1:1" s="824" customFormat="1" x14ac:dyDescent="0.25">
      <c r="A1051" s="823"/>
    </row>
    <row r="1052" spans="1:1" s="824" customFormat="1" x14ac:dyDescent="0.25">
      <c r="A1052" s="823"/>
    </row>
    <row r="1053" spans="1:1" s="824" customFormat="1" x14ac:dyDescent="0.25">
      <c r="A1053" s="823"/>
    </row>
    <row r="1054" spans="1:1" s="824" customFormat="1" x14ac:dyDescent="0.25">
      <c r="A1054" s="823"/>
    </row>
    <row r="1055" spans="1:1" s="824" customFormat="1" x14ac:dyDescent="0.25">
      <c r="A1055" s="823"/>
    </row>
    <row r="1056" spans="1:1" s="824" customFormat="1" x14ac:dyDescent="0.25">
      <c r="A1056" s="823"/>
    </row>
    <row r="1057" spans="1:1" s="824" customFormat="1" x14ac:dyDescent="0.25">
      <c r="A1057" s="823"/>
    </row>
    <row r="1058" spans="1:1" s="824" customFormat="1" x14ac:dyDescent="0.25">
      <c r="A1058" s="823"/>
    </row>
    <row r="1059" spans="1:1" s="824" customFormat="1" x14ac:dyDescent="0.25">
      <c r="A1059" s="823"/>
    </row>
    <row r="1060" spans="1:1" s="824" customFormat="1" x14ac:dyDescent="0.25">
      <c r="A1060" s="823"/>
    </row>
    <row r="1061" spans="1:1" s="824" customFormat="1" x14ac:dyDescent="0.25">
      <c r="A1061" s="823"/>
    </row>
    <row r="1062" spans="1:1" s="824" customFormat="1" x14ac:dyDescent="0.25">
      <c r="A1062" s="823"/>
    </row>
    <row r="1063" spans="1:1" s="824" customFormat="1" x14ac:dyDescent="0.25">
      <c r="A1063" s="823"/>
    </row>
    <row r="1064" spans="1:1" s="824" customFormat="1" x14ac:dyDescent="0.25">
      <c r="A1064" s="823"/>
    </row>
    <row r="1065" spans="1:1" s="824" customFormat="1" x14ac:dyDescent="0.25">
      <c r="A1065" s="823"/>
    </row>
    <row r="1066" spans="1:1" s="824" customFormat="1" x14ac:dyDescent="0.25">
      <c r="A1066" s="823"/>
    </row>
    <row r="1067" spans="1:1" s="824" customFormat="1" x14ac:dyDescent="0.25">
      <c r="A1067" s="823"/>
    </row>
    <row r="1068" spans="1:1" s="824" customFormat="1" x14ac:dyDescent="0.25">
      <c r="A1068" s="823"/>
    </row>
    <row r="1069" spans="1:1" s="824" customFormat="1" x14ac:dyDescent="0.25">
      <c r="A1069" s="823"/>
    </row>
    <row r="1070" spans="1:1" s="824" customFormat="1" x14ac:dyDescent="0.25">
      <c r="A1070" s="823"/>
    </row>
    <row r="1071" spans="1:1" s="824" customFormat="1" x14ac:dyDescent="0.25">
      <c r="A1071" s="823"/>
    </row>
    <row r="1072" spans="1:1" s="824" customFormat="1" x14ac:dyDescent="0.25">
      <c r="A1072" s="823"/>
    </row>
    <row r="1073" spans="1:1" s="824" customFormat="1" x14ac:dyDescent="0.25">
      <c r="A1073" s="823"/>
    </row>
    <row r="1074" spans="1:1" s="824" customFormat="1" x14ac:dyDescent="0.25">
      <c r="A1074" s="823"/>
    </row>
    <row r="1075" spans="1:1" s="824" customFormat="1" x14ac:dyDescent="0.25">
      <c r="A1075" s="823"/>
    </row>
    <row r="1076" spans="1:1" s="824" customFormat="1" x14ac:dyDescent="0.25">
      <c r="A1076" s="823"/>
    </row>
    <row r="1077" spans="1:1" s="824" customFormat="1" x14ac:dyDescent="0.25">
      <c r="A1077" s="823"/>
    </row>
    <row r="1078" spans="1:1" s="824" customFormat="1" x14ac:dyDescent="0.25">
      <c r="A1078" s="823"/>
    </row>
    <row r="1079" spans="1:1" s="824" customFormat="1" x14ac:dyDescent="0.25">
      <c r="A1079" s="823"/>
    </row>
    <row r="1080" spans="1:1" s="824" customFormat="1" x14ac:dyDescent="0.25">
      <c r="A1080" s="823"/>
    </row>
    <row r="1081" spans="1:1" s="824" customFormat="1" x14ac:dyDescent="0.25">
      <c r="A1081" s="823"/>
    </row>
    <row r="1082" spans="1:1" s="824" customFormat="1" x14ac:dyDescent="0.25">
      <c r="A1082" s="823"/>
    </row>
    <row r="1083" spans="1:1" s="824" customFormat="1" x14ac:dyDescent="0.25">
      <c r="A1083" s="823"/>
    </row>
    <row r="1084" spans="1:1" s="824" customFormat="1" x14ac:dyDescent="0.25">
      <c r="A1084" s="823"/>
    </row>
    <row r="1085" spans="1:1" s="824" customFormat="1" x14ac:dyDescent="0.25">
      <c r="A1085" s="823"/>
    </row>
    <row r="1086" spans="1:1" s="824" customFormat="1" x14ac:dyDescent="0.25">
      <c r="A1086" s="823"/>
    </row>
    <row r="1087" spans="1:1" s="824" customFormat="1" x14ac:dyDescent="0.25">
      <c r="A1087" s="823"/>
    </row>
    <row r="1088" spans="1:1" s="824" customFormat="1" x14ac:dyDescent="0.25">
      <c r="A1088" s="823"/>
    </row>
    <row r="1089" spans="1:1" s="824" customFormat="1" x14ac:dyDescent="0.25">
      <c r="A1089" s="823"/>
    </row>
    <row r="1090" spans="1:1" s="824" customFormat="1" x14ac:dyDescent="0.25">
      <c r="A1090" s="823"/>
    </row>
    <row r="1091" spans="1:1" s="824" customFormat="1" x14ac:dyDescent="0.25">
      <c r="A1091" s="823"/>
    </row>
    <row r="1092" spans="1:1" s="824" customFormat="1" x14ac:dyDescent="0.25">
      <c r="A1092" s="823"/>
    </row>
    <row r="1093" spans="1:1" s="824" customFormat="1" x14ac:dyDescent="0.25">
      <c r="A1093" s="823"/>
    </row>
    <row r="1094" spans="1:1" s="824" customFormat="1" x14ac:dyDescent="0.25">
      <c r="A1094" s="823"/>
    </row>
    <row r="1095" spans="1:1" s="824" customFormat="1" x14ac:dyDescent="0.25">
      <c r="A1095" s="823"/>
    </row>
    <row r="1096" spans="1:1" s="824" customFormat="1" x14ac:dyDescent="0.25">
      <c r="A1096" s="823"/>
    </row>
    <row r="1097" spans="1:1" s="824" customFormat="1" x14ac:dyDescent="0.25">
      <c r="A1097" s="823"/>
    </row>
    <row r="1098" spans="1:1" s="824" customFormat="1" x14ac:dyDescent="0.25">
      <c r="A1098" s="823"/>
    </row>
    <row r="1099" spans="1:1" s="824" customFormat="1" x14ac:dyDescent="0.25">
      <c r="A1099" s="823"/>
    </row>
    <row r="1100" spans="1:1" s="824" customFormat="1" x14ac:dyDescent="0.25">
      <c r="A1100" s="823"/>
    </row>
    <row r="1101" spans="1:1" s="824" customFormat="1" x14ac:dyDescent="0.25">
      <c r="A1101" s="823"/>
    </row>
    <row r="1102" spans="1:1" s="824" customFormat="1" x14ac:dyDescent="0.25">
      <c r="A1102" s="823"/>
    </row>
    <row r="1103" spans="1:1" s="824" customFormat="1" x14ac:dyDescent="0.25">
      <c r="A1103" s="823"/>
    </row>
    <row r="1104" spans="1:1" s="824" customFormat="1" x14ac:dyDescent="0.25">
      <c r="A1104" s="823"/>
    </row>
    <row r="1105" spans="1:1" s="824" customFormat="1" x14ac:dyDescent="0.25">
      <c r="A1105" s="823"/>
    </row>
    <row r="1106" spans="1:1" s="824" customFormat="1" x14ac:dyDescent="0.25">
      <c r="A1106" s="823"/>
    </row>
    <row r="1107" spans="1:1" s="824" customFormat="1" x14ac:dyDescent="0.25">
      <c r="A1107" s="823"/>
    </row>
    <row r="1108" spans="1:1" s="824" customFormat="1" x14ac:dyDescent="0.25">
      <c r="A1108" s="823"/>
    </row>
    <row r="1109" spans="1:1" s="824" customFormat="1" x14ac:dyDescent="0.25">
      <c r="A1109" s="823"/>
    </row>
    <row r="1110" spans="1:1" s="824" customFormat="1" x14ac:dyDescent="0.25">
      <c r="A1110" s="823"/>
    </row>
    <row r="1111" spans="1:1" s="824" customFormat="1" x14ac:dyDescent="0.25">
      <c r="A1111" s="823"/>
    </row>
    <row r="1112" spans="1:1" s="824" customFormat="1" x14ac:dyDescent="0.25">
      <c r="A1112" s="823"/>
    </row>
    <row r="1113" spans="1:1" s="824" customFormat="1" x14ac:dyDescent="0.25">
      <c r="A1113" s="823"/>
    </row>
    <row r="1114" spans="1:1" s="824" customFormat="1" x14ac:dyDescent="0.25">
      <c r="A1114" s="823"/>
    </row>
    <row r="1115" spans="1:1" s="824" customFormat="1" x14ac:dyDescent="0.25">
      <c r="A1115" s="823"/>
    </row>
    <row r="1116" spans="1:1" s="824" customFormat="1" x14ac:dyDescent="0.25">
      <c r="A1116" s="823"/>
    </row>
    <row r="1117" spans="1:1" s="824" customFormat="1" x14ac:dyDescent="0.25">
      <c r="A1117" s="823"/>
    </row>
    <row r="1118" spans="1:1" s="824" customFormat="1" x14ac:dyDescent="0.25">
      <c r="A1118" s="823"/>
    </row>
    <row r="1119" spans="1:1" s="824" customFormat="1" x14ac:dyDescent="0.25">
      <c r="A1119" s="823"/>
    </row>
    <row r="1120" spans="1:1" s="824" customFormat="1" x14ac:dyDescent="0.25">
      <c r="A1120" s="823"/>
    </row>
    <row r="1121" spans="1:1" s="824" customFormat="1" x14ac:dyDescent="0.25">
      <c r="A1121" s="823"/>
    </row>
    <row r="1122" spans="1:1" s="824" customFormat="1" x14ac:dyDescent="0.25">
      <c r="A1122" s="823"/>
    </row>
    <row r="1123" spans="1:1" s="824" customFormat="1" x14ac:dyDescent="0.25">
      <c r="A1123" s="823"/>
    </row>
    <row r="1124" spans="1:1" s="824" customFormat="1" x14ac:dyDescent="0.25">
      <c r="A1124" s="823"/>
    </row>
    <row r="1125" spans="1:1" s="824" customFormat="1" x14ac:dyDescent="0.25">
      <c r="A1125" s="823"/>
    </row>
    <row r="1126" spans="1:1" s="824" customFormat="1" x14ac:dyDescent="0.25">
      <c r="A1126" s="823"/>
    </row>
    <row r="1127" spans="1:1" s="824" customFormat="1" x14ac:dyDescent="0.25">
      <c r="A1127" s="823"/>
    </row>
    <row r="1128" spans="1:1" s="824" customFormat="1" x14ac:dyDescent="0.25">
      <c r="A1128" s="823"/>
    </row>
    <row r="1129" spans="1:1" s="824" customFormat="1" x14ac:dyDescent="0.25">
      <c r="A1129" s="823"/>
    </row>
    <row r="1130" spans="1:1" s="824" customFormat="1" x14ac:dyDescent="0.25">
      <c r="A1130" s="823"/>
    </row>
    <row r="1131" spans="1:1" s="824" customFormat="1" x14ac:dyDescent="0.25">
      <c r="A1131" s="823"/>
    </row>
    <row r="1132" spans="1:1" s="824" customFormat="1" x14ac:dyDescent="0.25">
      <c r="A1132" s="823"/>
    </row>
    <row r="1133" spans="1:1" s="824" customFormat="1" x14ac:dyDescent="0.25">
      <c r="A1133" s="823"/>
    </row>
    <row r="1134" spans="1:1" s="824" customFormat="1" x14ac:dyDescent="0.25">
      <c r="A1134" s="823"/>
    </row>
    <row r="1135" spans="1:1" s="824" customFormat="1" x14ac:dyDescent="0.25">
      <c r="A1135" s="823"/>
    </row>
    <row r="1136" spans="1:1" s="824" customFormat="1" x14ac:dyDescent="0.25">
      <c r="A1136" s="823"/>
    </row>
    <row r="1137" spans="1:1" s="824" customFormat="1" x14ac:dyDescent="0.25">
      <c r="A1137" s="823"/>
    </row>
    <row r="1138" spans="1:1" s="824" customFormat="1" x14ac:dyDescent="0.25">
      <c r="A1138" s="823"/>
    </row>
    <row r="1139" spans="1:1" s="824" customFormat="1" x14ac:dyDescent="0.25">
      <c r="A1139" s="823"/>
    </row>
    <row r="1140" spans="1:1" s="824" customFormat="1" x14ac:dyDescent="0.25">
      <c r="A1140" s="823"/>
    </row>
    <row r="1141" spans="1:1" s="824" customFormat="1" x14ac:dyDescent="0.25">
      <c r="A1141" s="823"/>
    </row>
    <row r="1142" spans="1:1" s="824" customFormat="1" x14ac:dyDescent="0.25">
      <c r="A1142" s="823"/>
    </row>
    <row r="1143" spans="1:1" s="824" customFormat="1" x14ac:dyDescent="0.25">
      <c r="A1143" s="823"/>
    </row>
    <row r="1144" spans="1:1" s="824" customFormat="1" x14ac:dyDescent="0.25">
      <c r="A1144" s="823"/>
    </row>
    <row r="1145" spans="1:1" s="824" customFormat="1" x14ac:dyDescent="0.25">
      <c r="A1145" s="823"/>
    </row>
    <row r="1146" spans="1:1" s="824" customFormat="1" x14ac:dyDescent="0.25">
      <c r="A1146" s="823"/>
    </row>
    <row r="1147" spans="1:1" s="824" customFormat="1" x14ac:dyDescent="0.25">
      <c r="A1147" s="823"/>
    </row>
    <row r="1148" spans="1:1" s="824" customFormat="1" x14ac:dyDescent="0.25">
      <c r="A1148" s="823"/>
    </row>
    <row r="1149" spans="1:1" s="824" customFormat="1" x14ac:dyDescent="0.25">
      <c r="A1149" s="823"/>
    </row>
    <row r="1150" spans="1:1" s="824" customFormat="1" x14ac:dyDescent="0.25">
      <c r="A1150" s="823"/>
    </row>
    <row r="1151" spans="1:1" s="824" customFormat="1" x14ac:dyDescent="0.25">
      <c r="A1151" s="823"/>
    </row>
    <row r="1152" spans="1:1" s="824" customFormat="1" x14ac:dyDescent="0.25">
      <c r="A1152" s="823"/>
    </row>
    <row r="1153" spans="1:1" s="824" customFormat="1" x14ac:dyDescent="0.25">
      <c r="A1153" s="823"/>
    </row>
    <row r="1154" spans="1:1" s="824" customFormat="1" x14ac:dyDescent="0.25">
      <c r="A1154" s="823"/>
    </row>
    <row r="1155" spans="1:1" s="824" customFormat="1" x14ac:dyDescent="0.25">
      <c r="A1155" s="823"/>
    </row>
    <row r="1156" spans="1:1" s="824" customFormat="1" x14ac:dyDescent="0.25">
      <c r="A1156" s="823"/>
    </row>
    <row r="1157" spans="1:1" s="824" customFormat="1" x14ac:dyDescent="0.25">
      <c r="A1157" s="823"/>
    </row>
    <row r="1158" spans="1:1" s="824" customFormat="1" x14ac:dyDescent="0.25">
      <c r="A1158" s="823"/>
    </row>
    <row r="1159" spans="1:1" s="824" customFormat="1" x14ac:dyDescent="0.25">
      <c r="A1159" s="823"/>
    </row>
    <row r="1160" spans="1:1" s="824" customFormat="1" x14ac:dyDescent="0.25">
      <c r="A1160" s="823"/>
    </row>
    <row r="1161" spans="1:1" s="824" customFormat="1" x14ac:dyDescent="0.25">
      <c r="A1161" s="823"/>
    </row>
    <row r="1162" spans="1:1" s="824" customFormat="1" x14ac:dyDescent="0.25">
      <c r="A1162" s="823"/>
    </row>
    <row r="1163" spans="1:1" s="824" customFormat="1" x14ac:dyDescent="0.25">
      <c r="A1163" s="823"/>
    </row>
    <row r="1164" spans="1:1" s="824" customFormat="1" x14ac:dyDescent="0.25">
      <c r="A1164" s="823"/>
    </row>
    <row r="1165" spans="1:1" s="824" customFormat="1" x14ac:dyDescent="0.25">
      <c r="A1165" s="823"/>
    </row>
    <row r="1166" spans="1:1" s="824" customFormat="1" x14ac:dyDescent="0.25">
      <c r="A1166" s="823"/>
    </row>
    <row r="1167" spans="1:1" s="824" customFormat="1" x14ac:dyDescent="0.25">
      <c r="A1167" s="823"/>
    </row>
    <row r="1168" spans="1:1" s="824" customFormat="1" x14ac:dyDescent="0.25">
      <c r="A1168" s="823"/>
    </row>
    <row r="1169" spans="1:1" s="824" customFormat="1" x14ac:dyDescent="0.25">
      <c r="A1169" s="823"/>
    </row>
    <row r="1170" spans="1:1" s="824" customFormat="1" x14ac:dyDescent="0.25">
      <c r="A1170" s="823"/>
    </row>
    <row r="1171" spans="1:1" s="824" customFormat="1" x14ac:dyDescent="0.25">
      <c r="A1171" s="823"/>
    </row>
    <row r="1172" spans="1:1" s="824" customFormat="1" x14ac:dyDescent="0.25">
      <c r="A1172" s="823"/>
    </row>
    <row r="1173" spans="1:1" s="824" customFormat="1" x14ac:dyDescent="0.25">
      <c r="A1173" s="823"/>
    </row>
    <row r="1174" spans="1:1" s="824" customFormat="1" x14ac:dyDescent="0.25">
      <c r="A1174" s="823"/>
    </row>
    <row r="1175" spans="1:1" s="824" customFormat="1" x14ac:dyDescent="0.25">
      <c r="A1175" s="823"/>
    </row>
    <row r="1176" spans="1:1" s="824" customFormat="1" x14ac:dyDescent="0.25">
      <c r="A1176" s="823"/>
    </row>
    <row r="1177" spans="1:1" s="824" customFormat="1" x14ac:dyDescent="0.25">
      <c r="A1177" s="823"/>
    </row>
    <row r="1178" spans="1:1" s="824" customFormat="1" x14ac:dyDescent="0.25">
      <c r="A1178" s="823"/>
    </row>
    <row r="1179" spans="1:1" s="824" customFormat="1" x14ac:dyDescent="0.25">
      <c r="A1179" s="823"/>
    </row>
    <row r="1180" spans="1:1" s="824" customFormat="1" x14ac:dyDescent="0.25">
      <c r="A1180" s="823"/>
    </row>
    <row r="1181" spans="1:1" s="824" customFormat="1" x14ac:dyDescent="0.25">
      <c r="A1181" s="823"/>
    </row>
    <row r="1182" spans="1:1" s="824" customFormat="1" x14ac:dyDescent="0.25">
      <c r="A1182" s="823"/>
    </row>
    <row r="1183" spans="1:1" s="824" customFormat="1" x14ac:dyDescent="0.25">
      <c r="A1183" s="823"/>
    </row>
    <row r="1184" spans="1:1" s="824" customFormat="1" x14ac:dyDescent="0.25">
      <c r="A1184" s="823"/>
    </row>
    <row r="1185" spans="1:1" s="824" customFormat="1" x14ac:dyDescent="0.25">
      <c r="A1185" s="823"/>
    </row>
    <row r="1186" spans="1:1" s="824" customFormat="1" x14ac:dyDescent="0.25">
      <c r="A1186" s="823"/>
    </row>
    <row r="1187" spans="1:1" s="824" customFormat="1" x14ac:dyDescent="0.25">
      <c r="A1187" s="823"/>
    </row>
    <row r="1188" spans="1:1" s="824" customFormat="1" x14ac:dyDescent="0.25">
      <c r="A1188" s="823"/>
    </row>
    <row r="1189" spans="1:1" s="824" customFormat="1" x14ac:dyDescent="0.25">
      <c r="A1189" s="823"/>
    </row>
    <row r="1190" spans="1:1" s="824" customFormat="1" x14ac:dyDescent="0.25">
      <c r="A1190" s="823"/>
    </row>
    <row r="1191" spans="1:1" s="824" customFormat="1" x14ac:dyDescent="0.25">
      <c r="A1191" s="823"/>
    </row>
    <row r="1192" spans="1:1" s="824" customFormat="1" x14ac:dyDescent="0.25">
      <c r="A1192" s="823"/>
    </row>
    <row r="1193" spans="1:1" s="824" customFormat="1" x14ac:dyDescent="0.25">
      <c r="A1193" s="823"/>
    </row>
    <row r="1194" spans="1:1" s="824" customFormat="1" x14ac:dyDescent="0.25">
      <c r="A1194" s="823"/>
    </row>
    <row r="1195" spans="1:1" s="824" customFormat="1" x14ac:dyDescent="0.25">
      <c r="A1195" s="823"/>
    </row>
    <row r="1196" spans="1:1" s="824" customFormat="1" x14ac:dyDescent="0.25">
      <c r="A1196" s="823"/>
    </row>
    <row r="1197" spans="1:1" s="824" customFormat="1" x14ac:dyDescent="0.25">
      <c r="A1197" s="823"/>
    </row>
    <row r="1198" spans="1:1" s="824" customFormat="1" x14ac:dyDescent="0.25">
      <c r="A1198" s="823"/>
    </row>
    <row r="1199" spans="1:1" s="824" customFormat="1" x14ac:dyDescent="0.25">
      <c r="A1199" s="823"/>
    </row>
    <row r="1200" spans="1:1" s="824" customFormat="1" x14ac:dyDescent="0.25">
      <c r="A1200" s="823"/>
    </row>
    <row r="1201" spans="1:1" s="824" customFormat="1" x14ac:dyDescent="0.25">
      <c r="A1201" s="823"/>
    </row>
    <row r="1202" spans="1:1" s="824" customFormat="1" x14ac:dyDescent="0.25">
      <c r="A1202" s="823"/>
    </row>
    <row r="1203" spans="1:1" s="824" customFormat="1" x14ac:dyDescent="0.25">
      <c r="A1203" s="823"/>
    </row>
    <row r="1204" spans="1:1" s="824" customFormat="1" x14ac:dyDescent="0.25">
      <c r="A1204" s="823"/>
    </row>
    <row r="1205" spans="1:1" s="824" customFormat="1" x14ac:dyDescent="0.25">
      <c r="A1205" s="823"/>
    </row>
    <row r="1206" spans="1:1" s="824" customFormat="1" x14ac:dyDescent="0.25">
      <c r="A1206" s="823"/>
    </row>
    <row r="1207" spans="1:1" s="824" customFormat="1" x14ac:dyDescent="0.25">
      <c r="A1207" s="823"/>
    </row>
    <row r="1208" spans="1:1" s="824" customFormat="1" x14ac:dyDescent="0.25">
      <c r="A1208" s="823"/>
    </row>
    <row r="1209" spans="1:1" s="824" customFormat="1" x14ac:dyDescent="0.25">
      <c r="A1209" s="823"/>
    </row>
    <row r="1210" spans="1:1" s="824" customFormat="1" x14ac:dyDescent="0.25">
      <c r="A1210" s="823"/>
    </row>
    <row r="1211" spans="1:1" s="824" customFormat="1" x14ac:dyDescent="0.25">
      <c r="A1211" s="823"/>
    </row>
    <row r="1212" spans="1:1" s="824" customFormat="1" x14ac:dyDescent="0.25">
      <c r="A1212" s="823"/>
    </row>
    <row r="1213" spans="1:1" s="824" customFormat="1" x14ac:dyDescent="0.25">
      <c r="A1213" s="823"/>
    </row>
    <row r="1214" spans="1:1" s="824" customFormat="1" x14ac:dyDescent="0.25">
      <c r="A1214" s="823"/>
    </row>
    <row r="1215" spans="1:1" s="824" customFormat="1" x14ac:dyDescent="0.25">
      <c r="A1215" s="823"/>
    </row>
    <row r="1216" spans="1:1" s="824" customFormat="1" x14ac:dyDescent="0.25">
      <c r="A1216" s="823"/>
    </row>
    <row r="1217" spans="1:1" s="824" customFormat="1" x14ac:dyDescent="0.25">
      <c r="A1217" s="823"/>
    </row>
    <row r="1218" spans="1:1" s="824" customFormat="1" x14ac:dyDescent="0.25">
      <c r="A1218" s="823"/>
    </row>
    <row r="1219" spans="1:1" s="824" customFormat="1" x14ac:dyDescent="0.25">
      <c r="A1219" s="823"/>
    </row>
    <row r="1220" spans="1:1" s="824" customFormat="1" x14ac:dyDescent="0.25">
      <c r="A1220" s="823"/>
    </row>
    <row r="1221" spans="1:1" s="824" customFormat="1" x14ac:dyDescent="0.25">
      <c r="A1221" s="823"/>
    </row>
    <row r="1222" spans="1:1" s="824" customFormat="1" x14ac:dyDescent="0.25">
      <c r="A1222" s="823"/>
    </row>
    <row r="1223" spans="1:1" s="824" customFormat="1" x14ac:dyDescent="0.25">
      <c r="A1223" s="823"/>
    </row>
    <row r="1224" spans="1:1" s="824" customFormat="1" x14ac:dyDescent="0.25">
      <c r="A1224" s="823"/>
    </row>
    <row r="1225" spans="1:1" s="824" customFormat="1" x14ac:dyDescent="0.25">
      <c r="A1225" s="823"/>
    </row>
    <row r="1226" spans="1:1" s="824" customFormat="1" x14ac:dyDescent="0.25">
      <c r="A1226" s="823"/>
    </row>
    <row r="1227" spans="1:1" s="824" customFormat="1" x14ac:dyDescent="0.25">
      <c r="A1227" s="823"/>
    </row>
    <row r="1228" spans="1:1" s="824" customFormat="1" x14ac:dyDescent="0.25">
      <c r="A1228" s="823"/>
    </row>
    <row r="1229" spans="1:1" s="824" customFormat="1" x14ac:dyDescent="0.25">
      <c r="A1229" s="823"/>
    </row>
    <row r="1230" spans="1:1" s="824" customFormat="1" x14ac:dyDescent="0.25">
      <c r="A1230" s="823"/>
    </row>
    <row r="1231" spans="1:1" s="824" customFormat="1" x14ac:dyDescent="0.25">
      <c r="A1231" s="823"/>
    </row>
    <row r="1232" spans="1:1" s="824" customFormat="1" x14ac:dyDescent="0.25">
      <c r="A1232" s="823"/>
    </row>
    <row r="1233" spans="1:1" s="824" customFormat="1" x14ac:dyDescent="0.25">
      <c r="A1233" s="823"/>
    </row>
    <row r="1234" spans="1:1" s="824" customFormat="1" x14ac:dyDescent="0.25">
      <c r="A1234" s="823"/>
    </row>
    <row r="1235" spans="1:1" s="824" customFormat="1" x14ac:dyDescent="0.25">
      <c r="A1235" s="823"/>
    </row>
    <row r="1236" spans="1:1" s="824" customFormat="1" x14ac:dyDescent="0.25">
      <c r="A1236" s="823"/>
    </row>
    <row r="1237" spans="1:1" s="824" customFormat="1" x14ac:dyDescent="0.25">
      <c r="A1237" s="823"/>
    </row>
    <row r="1238" spans="1:1" s="824" customFormat="1" x14ac:dyDescent="0.25">
      <c r="A1238" s="823"/>
    </row>
    <row r="1239" spans="1:1" s="824" customFormat="1" x14ac:dyDescent="0.25">
      <c r="A1239" s="823"/>
    </row>
    <row r="1240" spans="1:1" s="824" customFormat="1" x14ac:dyDescent="0.25">
      <c r="A1240" s="823"/>
    </row>
    <row r="1241" spans="1:1" s="824" customFormat="1" x14ac:dyDescent="0.25">
      <c r="A1241" s="823"/>
    </row>
    <row r="1242" spans="1:1" s="824" customFormat="1" x14ac:dyDescent="0.25">
      <c r="A1242" s="823"/>
    </row>
    <row r="1243" spans="1:1" s="824" customFormat="1" x14ac:dyDescent="0.25">
      <c r="A1243" s="823"/>
    </row>
    <row r="1244" spans="1:1" s="824" customFormat="1" x14ac:dyDescent="0.25">
      <c r="A1244" s="823"/>
    </row>
    <row r="1245" spans="1:1" s="824" customFormat="1" x14ac:dyDescent="0.25">
      <c r="A1245" s="823"/>
    </row>
    <row r="1246" spans="1:1" s="824" customFormat="1" x14ac:dyDescent="0.25">
      <c r="A1246" s="823"/>
    </row>
    <row r="1247" spans="1:1" s="824" customFormat="1" x14ac:dyDescent="0.25">
      <c r="A1247" s="823"/>
    </row>
    <row r="1248" spans="1:1" s="824" customFormat="1" x14ac:dyDescent="0.25">
      <c r="A1248" s="823"/>
    </row>
    <row r="1249" spans="1:1" s="824" customFormat="1" x14ac:dyDescent="0.25">
      <c r="A1249" s="823"/>
    </row>
    <row r="1250" spans="1:1" s="824" customFormat="1" x14ac:dyDescent="0.25">
      <c r="A1250" s="823"/>
    </row>
    <row r="1251" spans="1:1" s="824" customFormat="1" x14ac:dyDescent="0.25">
      <c r="A1251" s="823"/>
    </row>
    <row r="1252" spans="1:1" s="824" customFormat="1" x14ac:dyDescent="0.25">
      <c r="A1252" s="823"/>
    </row>
    <row r="1253" spans="1:1" s="824" customFormat="1" x14ac:dyDescent="0.25">
      <c r="A1253" s="823"/>
    </row>
    <row r="1254" spans="1:1" s="824" customFormat="1" x14ac:dyDescent="0.25">
      <c r="A1254" s="823"/>
    </row>
    <row r="1255" spans="1:1" s="824" customFormat="1" x14ac:dyDescent="0.25">
      <c r="A1255" s="823"/>
    </row>
    <row r="1256" spans="1:1" s="824" customFormat="1" x14ac:dyDescent="0.25">
      <c r="A1256" s="823"/>
    </row>
    <row r="1257" spans="1:1" s="824" customFormat="1" x14ac:dyDescent="0.25">
      <c r="A1257" s="823"/>
    </row>
    <row r="1258" spans="1:1" s="824" customFormat="1" x14ac:dyDescent="0.25">
      <c r="A1258" s="823"/>
    </row>
    <row r="1259" spans="1:1" s="824" customFormat="1" x14ac:dyDescent="0.25">
      <c r="A1259" s="823"/>
    </row>
    <row r="1260" spans="1:1" s="824" customFormat="1" x14ac:dyDescent="0.25">
      <c r="A1260" s="823"/>
    </row>
    <row r="1261" spans="1:1" s="824" customFormat="1" x14ac:dyDescent="0.25">
      <c r="A1261" s="823"/>
    </row>
    <row r="1262" spans="1:1" s="824" customFormat="1" x14ac:dyDescent="0.25">
      <c r="A1262" s="823"/>
    </row>
    <row r="1263" spans="1:1" s="824" customFormat="1" x14ac:dyDescent="0.25">
      <c r="A1263" s="823"/>
    </row>
    <row r="1264" spans="1:1" s="824" customFormat="1" x14ac:dyDescent="0.25">
      <c r="A1264" s="823"/>
    </row>
    <row r="1265" spans="1:1" s="824" customFormat="1" x14ac:dyDescent="0.25">
      <c r="A1265" s="823"/>
    </row>
    <row r="1266" spans="1:1" s="824" customFormat="1" x14ac:dyDescent="0.25">
      <c r="A1266" s="823"/>
    </row>
    <row r="1267" spans="1:1" s="824" customFormat="1" x14ac:dyDescent="0.25">
      <c r="A1267" s="823"/>
    </row>
    <row r="1268" spans="1:1" s="824" customFormat="1" x14ac:dyDescent="0.25">
      <c r="A1268" s="823"/>
    </row>
    <row r="1269" spans="1:1" s="824" customFormat="1" x14ac:dyDescent="0.25">
      <c r="A1269" s="823"/>
    </row>
    <row r="1270" spans="1:1" s="824" customFormat="1" x14ac:dyDescent="0.25">
      <c r="A1270" s="823"/>
    </row>
    <row r="1271" spans="1:1" s="824" customFormat="1" x14ac:dyDescent="0.25">
      <c r="A1271" s="823"/>
    </row>
    <row r="1272" spans="1:1" s="824" customFormat="1" x14ac:dyDescent="0.25">
      <c r="A1272" s="823"/>
    </row>
    <row r="1273" spans="1:1" s="824" customFormat="1" x14ac:dyDescent="0.25">
      <c r="A1273" s="823"/>
    </row>
    <row r="1274" spans="1:1" s="824" customFormat="1" x14ac:dyDescent="0.25">
      <c r="A1274" s="823"/>
    </row>
    <row r="1275" spans="1:1" s="824" customFormat="1" x14ac:dyDescent="0.25">
      <c r="A1275" s="823"/>
    </row>
    <row r="1276" spans="1:1" s="824" customFormat="1" x14ac:dyDescent="0.25">
      <c r="A1276" s="823"/>
    </row>
    <row r="1277" spans="1:1" s="824" customFormat="1" x14ac:dyDescent="0.25">
      <c r="A1277" s="823"/>
    </row>
    <row r="1278" spans="1:1" s="824" customFormat="1" x14ac:dyDescent="0.25">
      <c r="A1278" s="823"/>
    </row>
    <row r="1279" spans="1:1" s="824" customFormat="1" x14ac:dyDescent="0.25">
      <c r="A1279" s="823"/>
    </row>
    <row r="1280" spans="1:1" s="824" customFormat="1" x14ac:dyDescent="0.25">
      <c r="A1280" s="823"/>
    </row>
    <row r="1281" spans="1:1" s="824" customFormat="1" x14ac:dyDescent="0.25">
      <c r="A1281" s="823"/>
    </row>
    <row r="1282" spans="1:1" s="824" customFormat="1" x14ac:dyDescent="0.25">
      <c r="A1282" s="823"/>
    </row>
    <row r="1283" spans="1:1" s="824" customFormat="1" x14ac:dyDescent="0.25">
      <c r="A1283" s="823"/>
    </row>
    <row r="1284" spans="1:1" s="824" customFormat="1" x14ac:dyDescent="0.25">
      <c r="A1284" s="823"/>
    </row>
    <row r="1285" spans="1:1" s="824" customFormat="1" x14ac:dyDescent="0.25">
      <c r="A1285" s="823"/>
    </row>
    <row r="1286" spans="1:1" s="824" customFormat="1" x14ac:dyDescent="0.25">
      <c r="A1286" s="823"/>
    </row>
    <row r="1287" spans="1:1" s="824" customFormat="1" x14ac:dyDescent="0.25">
      <c r="A1287" s="823"/>
    </row>
    <row r="1288" spans="1:1" s="824" customFormat="1" x14ac:dyDescent="0.25">
      <c r="A1288" s="823"/>
    </row>
    <row r="1289" spans="1:1" s="824" customFormat="1" x14ac:dyDescent="0.25">
      <c r="A1289" s="823"/>
    </row>
    <row r="1290" spans="1:1" s="824" customFormat="1" x14ac:dyDescent="0.25">
      <c r="A1290" s="823"/>
    </row>
    <row r="1291" spans="1:1" s="824" customFormat="1" x14ac:dyDescent="0.25">
      <c r="A1291" s="823"/>
    </row>
    <row r="1292" spans="1:1" s="824" customFormat="1" x14ac:dyDescent="0.25">
      <c r="A1292" s="823"/>
    </row>
    <row r="1293" spans="1:1" s="824" customFormat="1" x14ac:dyDescent="0.25">
      <c r="A1293" s="823"/>
    </row>
    <row r="1294" spans="1:1" s="824" customFormat="1" x14ac:dyDescent="0.25">
      <c r="A1294" s="823"/>
    </row>
    <row r="1295" spans="1:1" s="824" customFormat="1" x14ac:dyDescent="0.25">
      <c r="A1295" s="823"/>
    </row>
    <row r="1296" spans="1:1" s="824" customFormat="1" x14ac:dyDescent="0.25">
      <c r="A1296" s="823"/>
    </row>
    <row r="1297" spans="1:1" s="824" customFormat="1" x14ac:dyDescent="0.25">
      <c r="A1297" s="823"/>
    </row>
    <row r="1298" spans="1:1" s="824" customFormat="1" x14ac:dyDescent="0.25">
      <c r="A1298" s="823"/>
    </row>
    <row r="1299" spans="1:1" s="824" customFormat="1" x14ac:dyDescent="0.25">
      <c r="A1299" s="823"/>
    </row>
    <row r="1300" spans="1:1" s="824" customFormat="1" x14ac:dyDescent="0.25">
      <c r="A1300" s="823"/>
    </row>
    <row r="1301" spans="1:1" s="824" customFormat="1" x14ac:dyDescent="0.25">
      <c r="A1301" s="823"/>
    </row>
    <row r="1302" spans="1:1" s="824" customFormat="1" x14ac:dyDescent="0.25">
      <c r="A1302" s="823"/>
    </row>
    <row r="1303" spans="1:1" s="824" customFormat="1" x14ac:dyDescent="0.25">
      <c r="A1303" s="823"/>
    </row>
    <row r="1304" spans="1:1" s="824" customFormat="1" x14ac:dyDescent="0.25">
      <c r="A1304" s="823"/>
    </row>
    <row r="1305" spans="1:1" s="824" customFormat="1" x14ac:dyDescent="0.25">
      <c r="A1305" s="823"/>
    </row>
    <row r="1306" spans="1:1" s="824" customFormat="1" x14ac:dyDescent="0.25">
      <c r="A1306" s="823"/>
    </row>
    <row r="1307" spans="1:1" s="824" customFormat="1" x14ac:dyDescent="0.25">
      <c r="A1307" s="823"/>
    </row>
    <row r="1308" spans="1:1" s="824" customFormat="1" x14ac:dyDescent="0.25">
      <c r="A1308" s="823"/>
    </row>
    <row r="1309" spans="1:1" s="824" customFormat="1" x14ac:dyDescent="0.25">
      <c r="A1309" s="823"/>
    </row>
    <row r="1310" spans="1:1" s="824" customFormat="1" x14ac:dyDescent="0.25">
      <c r="A1310" s="823"/>
    </row>
    <row r="1311" spans="1:1" s="824" customFormat="1" x14ac:dyDescent="0.25">
      <c r="A1311" s="823"/>
    </row>
    <row r="1312" spans="1:1" s="824" customFormat="1" x14ac:dyDescent="0.25">
      <c r="A1312" s="823"/>
    </row>
    <row r="1313" spans="1:1" s="824" customFormat="1" x14ac:dyDescent="0.25">
      <c r="A1313" s="823"/>
    </row>
    <row r="1314" spans="1:1" s="824" customFormat="1" x14ac:dyDescent="0.25">
      <c r="A1314" s="823"/>
    </row>
    <row r="1315" spans="1:1" s="824" customFormat="1" x14ac:dyDescent="0.25">
      <c r="A1315" s="823"/>
    </row>
    <row r="1316" spans="1:1" s="824" customFormat="1" x14ac:dyDescent="0.25">
      <c r="A1316" s="823"/>
    </row>
    <row r="1317" spans="1:1" s="824" customFormat="1" x14ac:dyDescent="0.25">
      <c r="A1317" s="823"/>
    </row>
    <row r="1318" spans="1:1" s="824" customFormat="1" x14ac:dyDescent="0.25">
      <c r="A1318" s="823"/>
    </row>
    <row r="1319" spans="1:1" s="824" customFormat="1" x14ac:dyDescent="0.25">
      <c r="A1319" s="823"/>
    </row>
    <row r="1320" spans="1:1" s="824" customFormat="1" x14ac:dyDescent="0.25">
      <c r="A1320" s="823"/>
    </row>
    <row r="1321" spans="1:1" s="824" customFormat="1" x14ac:dyDescent="0.25">
      <c r="A1321" s="823"/>
    </row>
    <row r="1322" spans="1:1" s="824" customFormat="1" x14ac:dyDescent="0.25">
      <c r="A1322" s="823"/>
    </row>
    <row r="1323" spans="1:1" s="824" customFormat="1" x14ac:dyDescent="0.25">
      <c r="A1323" s="823"/>
    </row>
    <row r="1324" spans="1:1" s="824" customFormat="1" x14ac:dyDescent="0.25">
      <c r="A1324" s="823"/>
    </row>
    <row r="1325" spans="1:1" s="824" customFormat="1" x14ac:dyDescent="0.25">
      <c r="A1325" s="823"/>
    </row>
    <row r="1326" spans="1:1" s="824" customFormat="1" x14ac:dyDescent="0.25">
      <c r="A1326" s="823"/>
    </row>
    <row r="1327" spans="1:1" s="824" customFormat="1" x14ac:dyDescent="0.25">
      <c r="A1327" s="823"/>
    </row>
    <row r="1328" spans="1:1" s="824" customFormat="1" x14ac:dyDescent="0.25">
      <c r="A1328" s="823"/>
    </row>
    <row r="1329" spans="1:1" s="824" customFormat="1" x14ac:dyDescent="0.25">
      <c r="A1329" s="823"/>
    </row>
    <row r="1330" spans="1:1" s="824" customFormat="1" x14ac:dyDescent="0.25">
      <c r="A1330" s="823"/>
    </row>
    <row r="1331" spans="1:1" s="824" customFormat="1" x14ac:dyDescent="0.25">
      <c r="A1331" s="823"/>
    </row>
    <row r="1332" spans="1:1" s="824" customFormat="1" x14ac:dyDescent="0.25">
      <c r="A1332" s="823"/>
    </row>
    <row r="1333" spans="1:1" s="824" customFormat="1" x14ac:dyDescent="0.25">
      <c r="A1333" s="823"/>
    </row>
    <row r="1334" spans="1:1" s="824" customFormat="1" x14ac:dyDescent="0.25">
      <c r="A1334" s="823"/>
    </row>
    <row r="1335" spans="1:1" s="824" customFormat="1" x14ac:dyDescent="0.25">
      <c r="A1335" s="823"/>
    </row>
    <row r="1336" spans="1:1" s="824" customFormat="1" x14ac:dyDescent="0.25">
      <c r="A1336" s="823"/>
    </row>
    <row r="1337" spans="1:1" s="824" customFormat="1" x14ac:dyDescent="0.25">
      <c r="A1337" s="823"/>
    </row>
    <row r="1338" spans="1:1" s="824" customFormat="1" x14ac:dyDescent="0.25">
      <c r="A1338" s="823"/>
    </row>
    <row r="1339" spans="1:1" s="824" customFormat="1" x14ac:dyDescent="0.25">
      <c r="A1339" s="823"/>
    </row>
    <row r="1340" spans="1:1" s="824" customFormat="1" x14ac:dyDescent="0.25">
      <c r="A1340" s="823"/>
    </row>
    <row r="1341" spans="1:1" s="824" customFormat="1" x14ac:dyDescent="0.25">
      <c r="A1341" s="823"/>
    </row>
    <row r="1342" spans="1:1" s="824" customFormat="1" x14ac:dyDescent="0.25">
      <c r="A1342" s="823"/>
    </row>
    <row r="1343" spans="1:1" s="824" customFormat="1" x14ac:dyDescent="0.25">
      <c r="A1343" s="823"/>
    </row>
    <row r="1344" spans="1:1" s="824" customFormat="1" x14ac:dyDescent="0.25">
      <c r="A1344" s="823"/>
    </row>
    <row r="1345" spans="1:1" s="824" customFormat="1" x14ac:dyDescent="0.25">
      <c r="A1345" s="823"/>
    </row>
    <row r="1346" spans="1:1" s="824" customFormat="1" x14ac:dyDescent="0.25">
      <c r="A1346" s="823"/>
    </row>
    <row r="1347" spans="1:1" s="824" customFormat="1" x14ac:dyDescent="0.25">
      <c r="A1347" s="823"/>
    </row>
    <row r="1348" spans="1:1" s="824" customFormat="1" x14ac:dyDescent="0.25">
      <c r="A1348" s="823"/>
    </row>
    <row r="1349" spans="1:1" s="824" customFormat="1" x14ac:dyDescent="0.25">
      <c r="A1349" s="823"/>
    </row>
    <row r="1350" spans="1:1" s="824" customFormat="1" x14ac:dyDescent="0.25">
      <c r="A1350" s="823"/>
    </row>
    <row r="1351" spans="1:1" s="824" customFormat="1" x14ac:dyDescent="0.25">
      <c r="A1351" s="823"/>
    </row>
    <row r="1352" spans="1:1" s="824" customFormat="1" x14ac:dyDescent="0.25">
      <c r="A1352" s="823"/>
    </row>
    <row r="1353" spans="1:1" s="824" customFormat="1" x14ac:dyDescent="0.25">
      <c r="A1353" s="823"/>
    </row>
    <row r="1354" spans="1:1" s="824" customFormat="1" x14ac:dyDescent="0.25">
      <c r="A1354" s="823"/>
    </row>
    <row r="1355" spans="1:1" s="824" customFormat="1" x14ac:dyDescent="0.25">
      <c r="A1355" s="823"/>
    </row>
    <row r="1356" spans="1:1" s="824" customFormat="1" x14ac:dyDescent="0.25">
      <c r="A1356" s="823"/>
    </row>
    <row r="1357" spans="1:1" s="824" customFormat="1" x14ac:dyDescent="0.25">
      <c r="A1357" s="823"/>
    </row>
    <row r="1358" spans="1:1" s="824" customFormat="1" x14ac:dyDescent="0.25">
      <c r="A1358" s="823"/>
    </row>
    <row r="1359" spans="1:1" s="824" customFormat="1" x14ac:dyDescent="0.25">
      <c r="A1359" s="823"/>
    </row>
    <row r="1360" spans="1:1" s="824" customFormat="1" x14ac:dyDescent="0.25">
      <c r="A1360" s="823"/>
    </row>
    <row r="1361" spans="1:1" s="824" customFormat="1" x14ac:dyDescent="0.25">
      <c r="A1361" s="823"/>
    </row>
    <row r="1362" spans="1:1" s="824" customFormat="1" x14ac:dyDescent="0.25">
      <c r="A1362" s="823"/>
    </row>
    <row r="1363" spans="1:1" s="824" customFormat="1" x14ac:dyDescent="0.25">
      <c r="A1363" s="823"/>
    </row>
    <row r="1364" spans="1:1" s="824" customFormat="1" x14ac:dyDescent="0.25">
      <c r="A1364" s="823"/>
    </row>
    <row r="1365" spans="1:1" s="824" customFormat="1" x14ac:dyDescent="0.25">
      <c r="A1365" s="823"/>
    </row>
    <row r="1366" spans="1:1" s="824" customFormat="1" x14ac:dyDescent="0.25">
      <c r="A1366" s="823"/>
    </row>
    <row r="1367" spans="1:1" s="824" customFormat="1" x14ac:dyDescent="0.25">
      <c r="A1367" s="823"/>
    </row>
    <row r="1368" spans="1:1" s="824" customFormat="1" x14ac:dyDescent="0.25">
      <c r="A1368" s="823"/>
    </row>
    <row r="1369" spans="1:1" s="824" customFormat="1" x14ac:dyDescent="0.25">
      <c r="A1369" s="823"/>
    </row>
    <row r="1370" spans="1:1" s="824" customFormat="1" x14ac:dyDescent="0.25">
      <c r="A1370" s="823"/>
    </row>
    <row r="1371" spans="1:1" s="824" customFormat="1" x14ac:dyDescent="0.25">
      <c r="A1371" s="823"/>
    </row>
    <row r="1372" spans="1:1" s="824" customFormat="1" x14ac:dyDescent="0.25">
      <c r="A1372" s="823"/>
    </row>
    <row r="1373" spans="1:1" s="824" customFormat="1" x14ac:dyDescent="0.25">
      <c r="A1373" s="823"/>
    </row>
    <row r="1374" spans="1:1" s="824" customFormat="1" x14ac:dyDescent="0.25">
      <c r="A1374" s="823"/>
    </row>
    <row r="1375" spans="1:1" s="824" customFormat="1" x14ac:dyDescent="0.25">
      <c r="A1375" s="823"/>
    </row>
    <row r="1376" spans="1:1" s="824" customFormat="1" x14ac:dyDescent="0.25">
      <c r="A1376" s="823"/>
    </row>
    <row r="1377" spans="1:1" s="824" customFormat="1" x14ac:dyDescent="0.25">
      <c r="A1377" s="823"/>
    </row>
    <row r="1378" spans="1:1" s="824" customFormat="1" x14ac:dyDescent="0.25">
      <c r="A1378" s="823"/>
    </row>
    <row r="1379" spans="1:1" s="824" customFormat="1" x14ac:dyDescent="0.25">
      <c r="A1379" s="823"/>
    </row>
    <row r="1380" spans="1:1" s="824" customFormat="1" x14ac:dyDescent="0.25">
      <c r="A1380" s="823"/>
    </row>
    <row r="1381" spans="1:1" s="824" customFormat="1" x14ac:dyDescent="0.25">
      <c r="A1381" s="823"/>
    </row>
    <row r="1382" spans="1:1" s="824" customFormat="1" x14ac:dyDescent="0.25">
      <c r="A1382" s="823"/>
    </row>
    <row r="1383" spans="1:1" s="824" customFormat="1" x14ac:dyDescent="0.25">
      <c r="A1383" s="823"/>
    </row>
    <row r="1384" spans="1:1" s="824" customFormat="1" x14ac:dyDescent="0.25">
      <c r="A1384" s="823"/>
    </row>
    <row r="1385" spans="1:1" s="824" customFormat="1" x14ac:dyDescent="0.25">
      <c r="A1385" s="823"/>
    </row>
    <row r="1386" spans="1:1" s="824" customFormat="1" x14ac:dyDescent="0.25">
      <c r="A1386" s="823"/>
    </row>
    <row r="1387" spans="1:1" s="824" customFormat="1" x14ac:dyDescent="0.25">
      <c r="A1387" s="823"/>
    </row>
    <row r="1388" spans="1:1" s="824" customFormat="1" x14ac:dyDescent="0.25">
      <c r="A1388" s="823"/>
    </row>
    <row r="1389" spans="1:1" s="824" customFormat="1" x14ac:dyDescent="0.25">
      <c r="A1389" s="823"/>
    </row>
    <row r="1390" spans="1:1" s="824" customFormat="1" x14ac:dyDescent="0.25">
      <c r="A1390" s="823"/>
    </row>
    <row r="1391" spans="1:1" s="824" customFormat="1" x14ac:dyDescent="0.25">
      <c r="A1391" s="823"/>
    </row>
    <row r="1392" spans="1:1" s="824" customFormat="1" x14ac:dyDescent="0.25">
      <c r="A1392" s="823"/>
    </row>
    <row r="1393" spans="1:1" s="824" customFormat="1" x14ac:dyDescent="0.25">
      <c r="A1393" s="823"/>
    </row>
    <row r="1394" spans="1:1" s="824" customFormat="1" x14ac:dyDescent="0.25">
      <c r="A1394" s="823"/>
    </row>
    <row r="1395" spans="1:1" s="824" customFormat="1" x14ac:dyDescent="0.25">
      <c r="A1395" s="823"/>
    </row>
    <row r="1396" spans="1:1" s="824" customFormat="1" x14ac:dyDescent="0.25">
      <c r="A1396" s="823"/>
    </row>
    <row r="1397" spans="1:1" s="824" customFormat="1" x14ac:dyDescent="0.25">
      <c r="A1397" s="823"/>
    </row>
    <row r="1398" spans="1:1" s="824" customFormat="1" x14ac:dyDescent="0.25">
      <c r="A1398" s="823"/>
    </row>
    <row r="1399" spans="1:1" s="824" customFormat="1" x14ac:dyDescent="0.25">
      <c r="A1399" s="823"/>
    </row>
    <row r="1400" spans="1:1" s="824" customFormat="1" x14ac:dyDescent="0.25">
      <c r="A1400" s="823"/>
    </row>
    <row r="1401" spans="1:1" s="824" customFormat="1" x14ac:dyDescent="0.25">
      <c r="A1401" s="823"/>
    </row>
    <row r="1402" spans="1:1" s="824" customFormat="1" x14ac:dyDescent="0.25">
      <c r="A1402" s="823"/>
    </row>
    <row r="1403" spans="1:1" s="824" customFormat="1" x14ac:dyDescent="0.25">
      <c r="A1403" s="823"/>
    </row>
    <row r="1404" spans="1:1" s="824" customFormat="1" x14ac:dyDescent="0.25">
      <c r="A1404" s="823"/>
    </row>
    <row r="1405" spans="1:1" s="824" customFormat="1" x14ac:dyDescent="0.25">
      <c r="A1405" s="823"/>
    </row>
    <row r="1406" spans="1:1" s="824" customFormat="1" x14ac:dyDescent="0.25">
      <c r="A1406" s="823"/>
    </row>
    <row r="1407" spans="1:1" s="824" customFormat="1" x14ac:dyDescent="0.25">
      <c r="A1407" s="823"/>
    </row>
    <row r="1408" spans="1:1" s="824" customFormat="1" x14ac:dyDescent="0.25">
      <c r="A1408" s="823"/>
    </row>
    <row r="1409" spans="1:1" s="824" customFormat="1" x14ac:dyDescent="0.25">
      <c r="A1409" s="823"/>
    </row>
    <row r="1410" spans="1:1" s="824" customFormat="1" x14ac:dyDescent="0.25">
      <c r="A1410" s="823"/>
    </row>
    <row r="1411" spans="1:1" s="824" customFormat="1" x14ac:dyDescent="0.25">
      <c r="A1411" s="823"/>
    </row>
    <row r="1412" spans="1:1" s="824" customFormat="1" x14ac:dyDescent="0.25">
      <c r="A1412" s="823"/>
    </row>
    <row r="1413" spans="1:1" s="824" customFormat="1" x14ac:dyDescent="0.25">
      <c r="A1413" s="823"/>
    </row>
    <row r="1414" spans="1:1" s="824" customFormat="1" x14ac:dyDescent="0.25">
      <c r="A1414" s="823"/>
    </row>
    <row r="1415" spans="1:1" s="824" customFormat="1" x14ac:dyDescent="0.25">
      <c r="A1415" s="823"/>
    </row>
    <row r="1416" spans="1:1" s="824" customFormat="1" x14ac:dyDescent="0.25">
      <c r="A1416" s="823"/>
    </row>
    <row r="1417" spans="1:1" s="824" customFormat="1" x14ac:dyDescent="0.25">
      <c r="A1417" s="823"/>
    </row>
    <row r="1418" spans="1:1" s="824" customFormat="1" x14ac:dyDescent="0.25">
      <c r="A1418" s="823"/>
    </row>
    <row r="1419" spans="1:1" s="824" customFormat="1" x14ac:dyDescent="0.25">
      <c r="A1419" s="823"/>
    </row>
    <row r="1420" spans="1:1" s="824" customFormat="1" x14ac:dyDescent="0.25">
      <c r="A1420" s="823"/>
    </row>
    <row r="1421" spans="1:1" s="824" customFormat="1" x14ac:dyDescent="0.25">
      <c r="A1421" s="823"/>
    </row>
    <row r="1422" spans="1:1" s="824" customFormat="1" x14ac:dyDescent="0.25">
      <c r="A1422" s="823"/>
    </row>
    <row r="1423" spans="1:1" s="824" customFormat="1" x14ac:dyDescent="0.25">
      <c r="A1423" s="823"/>
    </row>
    <row r="1424" spans="1:1" s="824" customFormat="1" x14ac:dyDescent="0.25">
      <c r="A1424" s="823"/>
    </row>
    <row r="1425" spans="1:1" s="824" customFormat="1" x14ac:dyDescent="0.25">
      <c r="A1425" s="823"/>
    </row>
    <row r="1426" spans="1:1" s="824" customFormat="1" x14ac:dyDescent="0.25">
      <c r="A1426" s="823"/>
    </row>
    <row r="1427" spans="1:1" s="824" customFormat="1" x14ac:dyDescent="0.25">
      <c r="A1427" s="823"/>
    </row>
    <row r="1428" spans="1:1" s="824" customFormat="1" x14ac:dyDescent="0.25">
      <c r="A1428" s="823"/>
    </row>
    <row r="1429" spans="1:1" s="824" customFormat="1" x14ac:dyDescent="0.25">
      <c r="A1429" s="823"/>
    </row>
    <row r="1430" spans="1:1" s="824" customFormat="1" x14ac:dyDescent="0.25">
      <c r="A1430" s="823"/>
    </row>
    <row r="1431" spans="1:1" s="824" customFormat="1" x14ac:dyDescent="0.25">
      <c r="A1431" s="823"/>
    </row>
    <row r="1432" spans="1:1" s="824" customFormat="1" x14ac:dyDescent="0.25">
      <c r="A1432" s="823"/>
    </row>
    <row r="1433" spans="1:1" s="824" customFormat="1" x14ac:dyDescent="0.25">
      <c r="A1433" s="823"/>
    </row>
    <row r="1434" spans="1:1" s="824" customFormat="1" x14ac:dyDescent="0.25">
      <c r="A1434" s="823"/>
    </row>
    <row r="1435" spans="1:1" s="824" customFormat="1" x14ac:dyDescent="0.25">
      <c r="A1435" s="823"/>
    </row>
    <row r="1436" spans="1:1" s="824" customFormat="1" x14ac:dyDescent="0.25">
      <c r="A1436" s="823"/>
    </row>
    <row r="1437" spans="1:1" s="824" customFormat="1" x14ac:dyDescent="0.25">
      <c r="A1437" s="823"/>
    </row>
    <row r="1438" spans="1:1" s="824" customFormat="1" x14ac:dyDescent="0.25">
      <c r="A1438" s="823"/>
    </row>
    <row r="1439" spans="1:1" s="824" customFormat="1" x14ac:dyDescent="0.25">
      <c r="A1439" s="823"/>
    </row>
    <row r="1440" spans="1:1" s="824" customFormat="1" x14ac:dyDescent="0.25">
      <c r="A1440" s="823"/>
    </row>
    <row r="1441" spans="1:1" s="824" customFormat="1" x14ac:dyDescent="0.25">
      <c r="A1441" s="823"/>
    </row>
    <row r="1442" spans="1:1" s="824" customFormat="1" x14ac:dyDescent="0.25">
      <c r="A1442" s="823"/>
    </row>
    <row r="1443" spans="1:1" s="824" customFormat="1" x14ac:dyDescent="0.25">
      <c r="A1443" s="823"/>
    </row>
    <row r="1444" spans="1:1" s="824" customFormat="1" x14ac:dyDescent="0.25">
      <c r="A1444" s="823"/>
    </row>
    <row r="1445" spans="1:1" s="824" customFormat="1" x14ac:dyDescent="0.25">
      <c r="A1445" s="823"/>
    </row>
    <row r="1446" spans="1:1" s="824" customFormat="1" x14ac:dyDescent="0.25">
      <c r="A1446" s="823"/>
    </row>
    <row r="1447" spans="1:1" s="824" customFormat="1" x14ac:dyDescent="0.25">
      <c r="A1447" s="823"/>
    </row>
    <row r="1448" spans="1:1" s="824" customFormat="1" x14ac:dyDescent="0.25">
      <c r="A1448" s="823"/>
    </row>
    <row r="1449" spans="1:1" s="824" customFormat="1" x14ac:dyDescent="0.25">
      <c r="A1449" s="823"/>
    </row>
    <row r="1450" spans="1:1" s="824" customFormat="1" x14ac:dyDescent="0.25">
      <c r="A1450" s="823"/>
    </row>
    <row r="1451" spans="1:1" s="824" customFormat="1" x14ac:dyDescent="0.25">
      <c r="A1451" s="823"/>
    </row>
    <row r="1452" spans="1:1" s="824" customFormat="1" x14ac:dyDescent="0.25">
      <c r="A1452" s="823"/>
    </row>
    <row r="1453" spans="1:1" s="824" customFormat="1" x14ac:dyDescent="0.25">
      <c r="A1453" s="823"/>
    </row>
    <row r="1454" spans="1:1" s="824" customFormat="1" x14ac:dyDescent="0.25">
      <c r="A1454" s="823"/>
    </row>
    <row r="1455" spans="1:1" s="824" customFormat="1" x14ac:dyDescent="0.25">
      <c r="A1455" s="823"/>
    </row>
    <row r="1456" spans="1:1" s="824" customFormat="1" x14ac:dyDescent="0.25">
      <c r="A1456" s="823"/>
    </row>
    <row r="1457" spans="1:1" s="824" customFormat="1" x14ac:dyDescent="0.25">
      <c r="A1457" s="823"/>
    </row>
    <row r="1458" spans="1:1" s="824" customFormat="1" x14ac:dyDescent="0.25">
      <c r="A1458" s="823"/>
    </row>
    <row r="1459" spans="1:1" s="824" customFormat="1" x14ac:dyDescent="0.25">
      <c r="A1459" s="823"/>
    </row>
    <row r="1460" spans="1:1" s="824" customFormat="1" x14ac:dyDescent="0.25">
      <c r="A1460" s="823"/>
    </row>
    <row r="1461" spans="1:1" s="824" customFormat="1" x14ac:dyDescent="0.25">
      <c r="A1461" s="823"/>
    </row>
    <row r="1462" spans="1:1" s="824" customFormat="1" x14ac:dyDescent="0.25">
      <c r="A1462" s="823"/>
    </row>
    <row r="1463" spans="1:1" s="824" customFormat="1" x14ac:dyDescent="0.25">
      <c r="A1463" s="823"/>
    </row>
    <row r="1464" spans="1:1" s="824" customFormat="1" x14ac:dyDescent="0.25">
      <c r="A1464" s="823"/>
    </row>
    <row r="1465" spans="1:1" s="824" customFormat="1" x14ac:dyDescent="0.25">
      <c r="A1465" s="823"/>
    </row>
    <row r="1466" spans="1:1" s="824" customFormat="1" x14ac:dyDescent="0.25">
      <c r="A1466" s="823"/>
    </row>
    <row r="1467" spans="1:1" s="824" customFormat="1" x14ac:dyDescent="0.25">
      <c r="A1467" s="823"/>
    </row>
    <row r="1468" spans="1:1" s="824" customFormat="1" x14ac:dyDescent="0.25">
      <c r="A1468" s="823"/>
    </row>
    <row r="1469" spans="1:1" s="824" customFormat="1" x14ac:dyDescent="0.25">
      <c r="A1469" s="823"/>
    </row>
    <row r="1470" spans="1:1" s="824" customFormat="1" x14ac:dyDescent="0.25">
      <c r="A1470" s="823"/>
    </row>
    <row r="1471" spans="1:1" s="824" customFormat="1" x14ac:dyDescent="0.25">
      <c r="A1471" s="823"/>
    </row>
    <row r="1472" spans="1:1" s="824" customFormat="1" x14ac:dyDescent="0.25">
      <c r="A1472" s="823"/>
    </row>
    <row r="1473" spans="1:1" s="824" customFormat="1" x14ac:dyDescent="0.25">
      <c r="A1473" s="823"/>
    </row>
    <row r="1474" spans="1:1" s="824" customFormat="1" x14ac:dyDescent="0.25">
      <c r="A1474" s="823"/>
    </row>
    <row r="1475" spans="1:1" s="824" customFormat="1" x14ac:dyDescent="0.25">
      <c r="A1475" s="823"/>
    </row>
    <row r="1476" spans="1:1" s="824" customFormat="1" x14ac:dyDescent="0.25">
      <c r="A1476" s="823"/>
    </row>
    <row r="1477" spans="1:1" s="824" customFormat="1" x14ac:dyDescent="0.25">
      <c r="A1477" s="823"/>
    </row>
    <row r="1478" spans="1:1" s="824" customFormat="1" x14ac:dyDescent="0.25">
      <c r="A1478" s="823"/>
    </row>
    <row r="1479" spans="1:1" s="824" customFormat="1" x14ac:dyDescent="0.25">
      <c r="A1479" s="823"/>
    </row>
    <row r="1480" spans="1:1" s="824" customFormat="1" x14ac:dyDescent="0.25">
      <c r="A1480" s="823"/>
    </row>
    <row r="1481" spans="1:1" s="824" customFormat="1" x14ac:dyDescent="0.25">
      <c r="A1481" s="823"/>
    </row>
    <row r="1482" spans="1:1" s="824" customFormat="1" x14ac:dyDescent="0.25">
      <c r="A1482" s="823"/>
    </row>
    <row r="1483" spans="1:1" s="824" customFormat="1" x14ac:dyDescent="0.25">
      <c r="A1483" s="823"/>
    </row>
    <row r="1484" spans="1:1" s="824" customFormat="1" x14ac:dyDescent="0.25">
      <c r="A1484" s="823"/>
    </row>
    <row r="1485" spans="1:1" s="824" customFormat="1" x14ac:dyDescent="0.25">
      <c r="A1485" s="823"/>
    </row>
    <row r="1486" spans="1:1" s="824" customFormat="1" x14ac:dyDescent="0.25">
      <c r="A1486" s="823"/>
    </row>
    <row r="1487" spans="1:1" s="824" customFormat="1" x14ac:dyDescent="0.25">
      <c r="A1487" s="823"/>
    </row>
    <row r="1488" spans="1:1" s="824" customFormat="1" x14ac:dyDescent="0.25">
      <c r="A1488" s="823"/>
    </row>
    <row r="1489" spans="1:1" s="824" customFormat="1" x14ac:dyDescent="0.25">
      <c r="A1489" s="823"/>
    </row>
    <row r="1490" spans="1:1" s="824" customFormat="1" x14ac:dyDescent="0.25">
      <c r="A1490" s="823"/>
    </row>
    <row r="1491" spans="1:1" s="824" customFormat="1" x14ac:dyDescent="0.25">
      <c r="A1491" s="823"/>
    </row>
    <row r="1492" spans="1:1" s="824" customFormat="1" x14ac:dyDescent="0.25">
      <c r="A1492" s="823"/>
    </row>
    <row r="1493" spans="1:1" s="824" customFormat="1" x14ac:dyDescent="0.25">
      <c r="A1493" s="823"/>
    </row>
    <row r="1494" spans="1:1" s="824" customFormat="1" x14ac:dyDescent="0.25">
      <c r="A1494" s="823"/>
    </row>
    <row r="1495" spans="1:1" s="824" customFormat="1" x14ac:dyDescent="0.25">
      <c r="A1495" s="823"/>
    </row>
    <row r="1496" spans="1:1" s="824" customFormat="1" x14ac:dyDescent="0.25">
      <c r="A1496" s="823"/>
    </row>
    <row r="1497" spans="1:1" s="824" customFormat="1" x14ac:dyDescent="0.25">
      <c r="A1497" s="823"/>
    </row>
    <row r="1498" spans="1:1" s="824" customFormat="1" x14ac:dyDescent="0.25">
      <c r="A1498" s="823"/>
    </row>
    <row r="1499" spans="1:1" s="824" customFormat="1" x14ac:dyDescent="0.25">
      <c r="A1499" s="823"/>
    </row>
    <row r="1500" spans="1:1" s="824" customFormat="1" x14ac:dyDescent="0.25">
      <c r="A1500" s="823"/>
    </row>
    <row r="1501" spans="1:1" s="824" customFormat="1" x14ac:dyDescent="0.25">
      <c r="A1501" s="823"/>
    </row>
    <row r="1502" spans="1:1" s="824" customFormat="1" x14ac:dyDescent="0.25">
      <c r="A1502" s="823"/>
    </row>
    <row r="1503" spans="1:1" s="824" customFormat="1" x14ac:dyDescent="0.25">
      <c r="A1503" s="823"/>
    </row>
    <row r="1504" spans="1:1" s="824" customFormat="1" x14ac:dyDescent="0.25">
      <c r="A1504" s="823"/>
    </row>
    <row r="1505" spans="1:1" s="824" customFormat="1" x14ac:dyDescent="0.25">
      <c r="A1505" s="823"/>
    </row>
    <row r="1506" spans="1:1" s="824" customFormat="1" x14ac:dyDescent="0.25">
      <c r="A1506" s="823"/>
    </row>
    <row r="1507" spans="1:1" s="824" customFormat="1" x14ac:dyDescent="0.25">
      <c r="A1507" s="823"/>
    </row>
    <row r="1508" spans="1:1" s="824" customFormat="1" x14ac:dyDescent="0.25">
      <c r="A1508" s="823"/>
    </row>
    <row r="1509" spans="1:1" s="824" customFormat="1" x14ac:dyDescent="0.25">
      <c r="A1509" s="823"/>
    </row>
    <row r="1510" spans="1:1" s="824" customFormat="1" x14ac:dyDescent="0.25">
      <c r="A1510" s="823"/>
    </row>
    <row r="1511" spans="1:1" s="824" customFormat="1" x14ac:dyDescent="0.25">
      <c r="A1511" s="823"/>
    </row>
    <row r="1512" spans="1:1" s="824" customFormat="1" x14ac:dyDescent="0.25">
      <c r="A1512" s="823"/>
    </row>
    <row r="1513" spans="1:1" s="824" customFormat="1" x14ac:dyDescent="0.25">
      <c r="A1513" s="823"/>
    </row>
    <row r="1514" spans="1:1" s="824" customFormat="1" x14ac:dyDescent="0.25">
      <c r="A1514" s="823"/>
    </row>
    <row r="1515" spans="1:1" s="824" customFormat="1" x14ac:dyDescent="0.25">
      <c r="A1515" s="823"/>
    </row>
    <row r="1516" spans="1:1" s="824" customFormat="1" x14ac:dyDescent="0.25">
      <c r="A1516" s="823"/>
    </row>
    <row r="1517" spans="1:1" s="824" customFormat="1" x14ac:dyDescent="0.25">
      <c r="A1517" s="823"/>
    </row>
    <row r="1518" spans="1:1" s="824" customFormat="1" x14ac:dyDescent="0.25">
      <c r="A1518" s="823"/>
    </row>
    <row r="1519" spans="1:1" s="824" customFormat="1" x14ac:dyDescent="0.25">
      <c r="A1519" s="823"/>
    </row>
    <row r="1520" spans="1:1" s="824" customFormat="1" x14ac:dyDescent="0.25">
      <c r="A1520" s="823"/>
    </row>
    <row r="1521" spans="1:1" s="824" customFormat="1" x14ac:dyDescent="0.25">
      <c r="A1521" s="823"/>
    </row>
    <row r="1522" spans="1:1" s="824" customFormat="1" x14ac:dyDescent="0.25">
      <c r="A1522" s="823"/>
    </row>
    <row r="1523" spans="1:1" s="824" customFormat="1" x14ac:dyDescent="0.25">
      <c r="A1523" s="823"/>
    </row>
    <row r="1524" spans="1:1" s="824" customFormat="1" x14ac:dyDescent="0.25">
      <c r="A1524" s="823"/>
    </row>
    <row r="1525" spans="1:1" s="824" customFormat="1" x14ac:dyDescent="0.25">
      <c r="A1525" s="823"/>
    </row>
    <row r="1526" spans="1:1" s="824" customFormat="1" x14ac:dyDescent="0.25">
      <c r="A1526" s="823"/>
    </row>
    <row r="1527" spans="1:1" s="824" customFormat="1" x14ac:dyDescent="0.25">
      <c r="A1527" s="823"/>
    </row>
    <row r="1528" spans="1:1" s="824" customFormat="1" x14ac:dyDescent="0.25">
      <c r="A1528" s="823"/>
    </row>
    <row r="1529" spans="1:1" s="824" customFormat="1" x14ac:dyDescent="0.25">
      <c r="A1529" s="823"/>
    </row>
    <row r="1530" spans="1:1" s="824" customFormat="1" x14ac:dyDescent="0.25">
      <c r="A1530" s="823"/>
    </row>
    <row r="1531" spans="1:1" s="824" customFormat="1" x14ac:dyDescent="0.25">
      <c r="A1531" s="823"/>
    </row>
    <row r="1532" spans="1:1" s="824" customFormat="1" x14ac:dyDescent="0.25">
      <c r="A1532" s="823"/>
    </row>
    <row r="1533" spans="1:1" s="824" customFormat="1" x14ac:dyDescent="0.25">
      <c r="A1533" s="823"/>
    </row>
    <row r="1534" spans="1:1" s="824" customFormat="1" x14ac:dyDescent="0.25">
      <c r="A1534" s="823"/>
    </row>
    <row r="1535" spans="1:1" s="824" customFormat="1" x14ac:dyDescent="0.25">
      <c r="A1535" s="823"/>
    </row>
    <row r="1536" spans="1:1" s="824" customFormat="1" x14ac:dyDescent="0.25">
      <c r="A1536" s="823"/>
    </row>
    <row r="1537" spans="1:1" s="824" customFormat="1" x14ac:dyDescent="0.25">
      <c r="A1537" s="823"/>
    </row>
    <row r="1538" spans="1:1" s="824" customFormat="1" x14ac:dyDescent="0.25">
      <c r="A1538" s="823"/>
    </row>
    <row r="1539" spans="1:1" s="824" customFormat="1" x14ac:dyDescent="0.25">
      <c r="A1539" s="823"/>
    </row>
    <row r="1540" spans="1:1" s="824" customFormat="1" x14ac:dyDescent="0.25">
      <c r="A1540" s="823"/>
    </row>
    <row r="1541" spans="1:1" s="824" customFormat="1" x14ac:dyDescent="0.25">
      <c r="A1541" s="823"/>
    </row>
    <row r="1542" spans="1:1" s="824" customFormat="1" x14ac:dyDescent="0.25">
      <c r="A1542" s="823"/>
    </row>
    <row r="1543" spans="1:1" s="824" customFormat="1" x14ac:dyDescent="0.25">
      <c r="A1543" s="823"/>
    </row>
    <row r="1544" spans="1:1" s="824" customFormat="1" x14ac:dyDescent="0.25">
      <c r="A1544" s="823"/>
    </row>
    <row r="1545" spans="1:1" s="824" customFormat="1" x14ac:dyDescent="0.25">
      <c r="A1545" s="823"/>
    </row>
    <row r="1546" spans="1:1" s="824" customFormat="1" x14ac:dyDescent="0.25">
      <c r="A1546" s="823"/>
    </row>
    <row r="1547" spans="1:1" s="824" customFormat="1" x14ac:dyDescent="0.25">
      <c r="A1547" s="823"/>
    </row>
    <row r="1548" spans="1:1" s="824" customFormat="1" x14ac:dyDescent="0.25">
      <c r="A1548" s="823"/>
    </row>
    <row r="1549" spans="1:1" s="824" customFormat="1" x14ac:dyDescent="0.25">
      <c r="A1549" s="823"/>
    </row>
    <row r="1550" spans="1:1" s="824" customFormat="1" x14ac:dyDescent="0.25">
      <c r="A1550" s="823"/>
    </row>
    <row r="1551" spans="1:1" s="824" customFormat="1" x14ac:dyDescent="0.25">
      <c r="A1551" s="823"/>
    </row>
    <row r="1552" spans="1:1" s="824" customFormat="1" x14ac:dyDescent="0.25">
      <c r="A1552" s="823"/>
    </row>
    <row r="1553" spans="1:1" s="824" customFormat="1" x14ac:dyDescent="0.25">
      <c r="A1553" s="823"/>
    </row>
    <row r="1554" spans="1:1" s="824" customFormat="1" x14ac:dyDescent="0.25">
      <c r="A1554" s="823"/>
    </row>
    <row r="1555" spans="1:1" s="824" customFormat="1" x14ac:dyDescent="0.25">
      <c r="A1555" s="823"/>
    </row>
    <row r="1556" spans="1:1" s="824" customFormat="1" x14ac:dyDescent="0.25">
      <c r="A1556" s="823"/>
    </row>
    <row r="1557" spans="1:1" s="824" customFormat="1" x14ac:dyDescent="0.25">
      <c r="A1557" s="823"/>
    </row>
    <row r="1558" spans="1:1" s="824" customFormat="1" x14ac:dyDescent="0.25">
      <c r="A1558" s="823"/>
    </row>
    <row r="1559" spans="1:1" s="824" customFormat="1" x14ac:dyDescent="0.25">
      <c r="A1559" s="823"/>
    </row>
    <row r="1560" spans="1:1" s="824" customFormat="1" x14ac:dyDescent="0.25">
      <c r="A1560" s="823"/>
    </row>
    <row r="1561" spans="1:1" s="824" customFormat="1" x14ac:dyDescent="0.25">
      <c r="A1561" s="823"/>
    </row>
    <row r="1562" spans="1:1" s="824" customFormat="1" x14ac:dyDescent="0.25">
      <c r="A1562" s="823"/>
    </row>
    <row r="1563" spans="1:1" s="824" customFormat="1" x14ac:dyDescent="0.25">
      <c r="A1563" s="823"/>
    </row>
    <row r="1564" spans="1:1" s="824" customFormat="1" x14ac:dyDescent="0.25">
      <c r="A1564" s="823"/>
    </row>
    <row r="1565" spans="1:1" s="824" customFormat="1" x14ac:dyDescent="0.25">
      <c r="A1565" s="823"/>
    </row>
    <row r="1566" spans="1:1" s="824" customFormat="1" x14ac:dyDescent="0.25">
      <c r="A1566" s="823"/>
    </row>
    <row r="1567" spans="1:1" s="824" customFormat="1" x14ac:dyDescent="0.25">
      <c r="A1567" s="823"/>
    </row>
    <row r="1568" spans="1:1" s="824" customFormat="1" x14ac:dyDescent="0.25">
      <c r="A1568" s="823"/>
    </row>
    <row r="1569" spans="1:1" s="824" customFormat="1" x14ac:dyDescent="0.25">
      <c r="A1569" s="823"/>
    </row>
    <row r="1570" spans="1:1" s="824" customFormat="1" x14ac:dyDescent="0.25">
      <c r="A1570" s="823"/>
    </row>
    <row r="1571" spans="1:1" s="824" customFormat="1" x14ac:dyDescent="0.25">
      <c r="A1571" s="823"/>
    </row>
    <row r="1572" spans="1:1" s="824" customFormat="1" x14ac:dyDescent="0.25">
      <c r="A1572" s="823"/>
    </row>
    <row r="1573" spans="1:1" s="824" customFormat="1" x14ac:dyDescent="0.25">
      <c r="A1573" s="823"/>
    </row>
    <row r="1574" spans="1:1" s="824" customFormat="1" x14ac:dyDescent="0.25">
      <c r="A1574" s="823"/>
    </row>
    <row r="1575" spans="1:1" s="824" customFormat="1" x14ac:dyDescent="0.25">
      <c r="A1575" s="823"/>
    </row>
    <row r="1576" spans="1:1" s="824" customFormat="1" x14ac:dyDescent="0.25">
      <c r="A1576" s="823"/>
    </row>
    <row r="1577" spans="1:1" s="824" customFormat="1" x14ac:dyDescent="0.25">
      <c r="A1577" s="823"/>
    </row>
    <row r="1578" spans="1:1" s="824" customFormat="1" x14ac:dyDescent="0.25">
      <c r="A1578" s="823"/>
    </row>
    <row r="1579" spans="1:1" s="824" customFormat="1" x14ac:dyDescent="0.25">
      <c r="A1579" s="823"/>
    </row>
    <row r="1580" spans="1:1" s="824" customFormat="1" x14ac:dyDescent="0.25">
      <c r="A1580" s="823"/>
    </row>
    <row r="1581" spans="1:1" s="824" customFormat="1" x14ac:dyDescent="0.25">
      <c r="A1581" s="823"/>
    </row>
    <row r="1582" spans="1:1" s="824" customFormat="1" x14ac:dyDescent="0.25">
      <c r="A1582" s="823"/>
    </row>
    <row r="1583" spans="1:1" s="824" customFormat="1" x14ac:dyDescent="0.25">
      <c r="A1583" s="823"/>
    </row>
    <row r="1584" spans="1:1" s="824" customFormat="1" x14ac:dyDescent="0.25">
      <c r="A1584" s="823"/>
    </row>
    <row r="1585" spans="1:1" s="824" customFormat="1" x14ac:dyDescent="0.25">
      <c r="A1585" s="823"/>
    </row>
    <row r="1586" spans="1:1" s="824" customFormat="1" x14ac:dyDescent="0.25">
      <c r="A1586" s="823"/>
    </row>
    <row r="1587" spans="1:1" s="824" customFormat="1" x14ac:dyDescent="0.25">
      <c r="A1587" s="823"/>
    </row>
    <row r="1588" spans="1:1" s="824" customFormat="1" x14ac:dyDescent="0.25">
      <c r="A1588" s="823"/>
    </row>
    <row r="1589" spans="1:1" s="824" customFormat="1" x14ac:dyDescent="0.25">
      <c r="A1589" s="823"/>
    </row>
    <row r="1590" spans="1:1" s="824" customFormat="1" x14ac:dyDescent="0.25">
      <c r="A1590" s="823"/>
    </row>
    <row r="1591" spans="1:1" s="824" customFormat="1" x14ac:dyDescent="0.25">
      <c r="A1591" s="823"/>
    </row>
    <row r="1592" spans="1:1" s="824" customFormat="1" x14ac:dyDescent="0.25">
      <c r="A1592" s="823"/>
    </row>
    <row r="1593" spans="1:1" s="824" customFormat="1" x14ac:dyDescent="0.25">
      <c r="A1593" s="823"/>
    </row>
    <row r="1594" spans="1:1" s="824" customFormat="1" x14ac:dyDescent="0.25">
      <c r="A1594" s="823"/>
    </row>
    <row r="1595" spans="1:1" s="824" customFormat="1" x14ac:dyDescent="0.25">
      <c r="A1595" s="823"/>
    </row>
    <row r="1596" spans="1:1" s="824" customFormat="1" x14ac:dyDescent="0.25">
      <c r="A1596" s="823"/>
    </row>
    <row r="1597" spans="1:1" s="824" customFormat="1" x14ac:dyDescent="0.25">
      <c r="A1597" s="823"/>
    </row>
    <row r="1598" spans="1:1" s="824" customFormat="1" x14ac:dyDescent="0.25">
      <c r="A1598" s="823"/>
    </row>
    <row r="1599" spans="1:1" s="824" customFormat="1" x14ac:dyDescent="0.25">
      <c r="A1599" s="823"/>
    </row>
    <row r="1600" spans="1:1" s="824" customFormat="1" x14ac:dyDescent="0.25">
      <c r="A1600" s="823"/>
    </row>
    <row r="1601" spans="1:1" s="824" customFormat="1" x14ac:dyDescent="0.25">
      <c r="A1601" s="823"/>
    </row>
    <row r="1602" spans="1:1" s="824" customFormat="1" x14ac:dyDescent="0.25">
      <c r="A1602" s="823"/>
    </row>
    <row r="1603" spans="1:1" s="824" customFormat="1" x14ac:dyDescent="0.25">
      <c r="A1603" s="823"/>
    </row>
    <row r="1604" spans="1:1" s="824" customFormat="1" x14ac:dyDescent="0.25">
      <c r="A1604" s="823"/>
    </row>
    <row r="1605" spans="1:1" s="824" customFormat="1" x14ac:dyDescent="0.25">
      <c r="A1605" s="823"/>
    </row>
    <row r="1606" spans="1:1" s="824" customFormat="1" x14ac:dyDescent="0.25">
      <c r="A1606" s="823"/>
    </row>
    <row r="1607" spans="1:1" s="824" customFormat="1" x14ac:dyDescent="0.25">
      <c r="A1607" s="823"/>
    </row>
    <row r="1608" spans="1:1" s="824" customFormat="1" x14ac:dyDescent="0.25">
      <c r="A1608" s="823"/>
    </row>
    <row r="1609" spans="1:1" s="824" customFormat="1" x14ac:dyDescent="0.25">
      <c r="A1609" s="823"/>
    </row>
    <row r="1610" spans="1:1" s="824" customFormat="1" x14ac:dyDescent="0.25">
      <c r="A1610" s="823"/>
    </row>
    <row r="1611" spans="1:1" s="824" customFormat="1" x14ac:dyDescent="0.25">
      <c r="A1611" s="823"/>
    </row>
    <row r="1612" spans="1:1" s="824" customFormat="1" x14ac:dyDescent="0.25">
      <c r="A1612" s="823"/>
    </row>
    <row r="1613" spans="1:1" s="824" customFormat="1" x14ac:dyDescent="0.25">
      <c r="A1613" s="823"/>
    </row>
    <row r="1614" spans="1:1" s="824" customFormat="1" x14ac:dyDescent="0.25">
      <c r="A1614" s="823"/>
    </row>
    <row r="1615" spans="1:1" s="824" customFormat="1" x14ac:dyDescent="0.25">
      <c r="A1615" s="823"/>
    </row>
    <row r="1616" spans="1:1" s="824" customFormat="1" x14ac:dyDescent="0.25">
      <c r="A1616" s="823"/>
    </row>
    <row r="1617" spans="1:1" s="824" customFormat="1" x14ac:dyDescent="0.25">
      <c r="A1617" s="823"/>
    </row>
    <row r="1618" spans="1:1" s="824" customFormat="1" x14ac:dyDescent="0.25">
      <c r="A1618" s="823"/>
    </row>
    <row r="1619" spans="1:1" s="824" customFormat="1" x14ac:dyDescent="0.25">
      <c r="A1619" s="823"/>
    </row>
    <row r="1620" spans="1:1" s="824" customFormat="1" x14ac:dyDescent="0.25">
      <c r="A1620" s="823"/>
    </row>
    <row r="1621" spans="1:1" s="824" customFormat="1" x14ac:dyDescent="0.25">
      <c r="A1621" s="823"/>
    </row>
    <row r="1622" spans="1:1" s="824" customFormat="1" x14ac:dyDescent="0.25">
      <c r="A1622" s="823"/>
    </row>
    <row r="1623" spans="1:1" s="824" customFormat="1" x14ac:dyDescent="0.25">
      <c r="A1623" s="823"/>
    </row>
    <row r="1624" spans="1:1" s="824" customFormat="1" x14ac:dyDescent="0.25">
      <c r="A1624" s="823"/>
    </row>
    <row r="1625" spans="1:1" s="824" customFormat="1" x14ac:dyDescent="0.25">
      <c r="A1625" s="823"/>
    </row>
    <row r="1626" spans="1:1" s="824" customFormat="1" x14ac:dyDescent="0.25">
      <c r="A1626" s="823"/>
    </row>
    <row r="1627" spans="1:1" s="824" customFormat="1" x14ac:dyDescent="0.25">
      <c r="A1627" s="823"/>
    </row>
    <row r="1628" spans="1:1" s="824" customFormat="1" x14ac:dyDescent="0.25">
      <c r="A1628" s="823"/>
    </row>
    <row r="1629" spans="1:1" s="824" customFormat="1" x14ac:dyDescent="0.25">
      <c r="A1629" s="823"/>
    </row>
    <row r="1630" spans="1:1" s="824" customFormat="1" x14ac:dyDescent="0.25">
      <c r="A1630" s="823"/>
    </row>
    <row r="1631" spans="1:1" s="824" customFormat="1" x14ac:dyDescent="0.25">
      <c r="A1631" s="823"/>
    </row>
    <row r="1632" spans="1:1" s="824" customFormat="1" x14ac:dyDescent="0.25">
      <c r="A1632" s="823"/>
    </row>
    <row r="1633" spans="1:1" s="824" customFormat="1" x14ac:dyDescent="0.25">
      <c r="A1633" s="823"/>
    </row>
    <row r="1634" spans="1:1" s="824" customFormat="1" x14ac:dyDescent="0.25">
      <c r="A1634" s="823"/>
    </row>
    <row r="1635" spans="1:1" s="824" customFormat="1" x14ac:dyDescent="0.25">
      <c r="A1635" s="823"/>
    </row>
    <row r="1636" spans="1:1" s="824" customFormat="1" x14ac:dyDescent="0.25">
      <c r="A1636" s="823"/>
    </row>
    <row r="1637" spans="1:1" s="824" customFormat="1" x14ac:dyDescent="0.25">
      <c r="A1637" s="823"/>
    </row>
    <row r="1638" spans="1:1" s="824" customFormat="1" x14ac:dyDescent="0.25">
      <c r="A1638" s="823"/>
    </row>
    <row r="1639" spans="1:1" s="824" customFormat="1" x14ac:dyDescent="0.25">
      <c r="A1639" s="823"/>
    </row>
    <row r="1640" spans="1:1" s="824" customFormat="1" x14ac:dyDescent="0.25">
      <c r="A1640" s="823"/>
    </row>
    <row r="1641" spans="1:1" s="824" customFormat="1" x14ac:dyDescent="0.25">
      <c r="A1641" s="823"/>
    </row>
    <row r="1642" spans="1:1" s="824" customFormat="1" x14ac:dyDescent="0.25">
      <c r="A1642" s="823"/>
    </row>
    <row r="1643" spans="1:1" s="824" customFormat="1" x14ac:dyDescent="0.25">
      <c r="A1643" s="823"/>
    </row>
    <row r="1644" spans="1:1" s="824" customFormat="1" x14ac:dyDescent="0.25">
      <c r="A1644" s="823"/>
    </row>
    <row r="1645" spans="1:1" s="824" customFormat="1" x14ac:dyDescent="0.25">
      <c r="A1645" s="823"/>
    </row>
    <row r="1646" spans="1:1" s="824" customFormat="1" x14ac:dyDescent="0.25">
      <c r="A1646" s="823"/>
    </row>
    <row r="1647" spans="1:1" s="824" customFormat="1" x14ac:dyDescent="0.25">
      <c r="A1647" s="823"/>
    </row>
    <row r="1648" spans="1:1" s="824" customFormat="1" x14ac:dyDescent="0.25">
      <c r="A1648" s="823"/>
    </row>
    <row r="1649" spans="1:1" s="824" customFormat="1" x14ac:dyDescent="0.25">
      <c r="A1649" s="823"/>
    </row>
    <row r="1650" spans="1:1" s="824" customFormat="1" x14ac:dyDescent="0.25">
      <c r="A1650" s="823"/>
    </row>
    <row r="1651" spans="1:1" s="824" customFormat="1" x14ac:dyDescent="0.25">
      <c r="A1651" s="823"/>
    </row>
    <row r="1652" spans="1:1" s="824" customFormat="1" x14ac:dyDescent="0.25">
      <c r="A1652" s="823"/>
    </row>
    <row r="1653" spans="1:1" s="824" customFormat="1" x14ac:dyDescent="0.25">
      <c r="A1653" s="823"/>
    </row>
    <row r="1654" spans="1:1" s="824" customFormat="1" x14ac:dyDescent="0.25">
      <c r="A1654" s="823"/>
    </row>
    <row r="1655" spans="1:1" s="824" customFormat="1" x14ac:dyDescent="0.25">
      <c r="A1655" s="823"/>
    </row>
    <row r="1656" spans="1:1" s="824" customFormat="1" x14ac:dyDescent="0.25">
      <c r="A1656" s="823"/>
    </row>
    <row r="1657" spans="1:1" s="824" customFormat="1" x14ac:dyDescent="0.25">
      <c r="A1657" s="823"/>
    </row>
    <row r="1658" spans="1:1" s="824" customFormat="1" x14ac:dyDescent="0.25">
      <c r="A1658" s="823"/>
    </row>
    <row r="1659" spans="1:1" s="824" customFormat="1" x14ac:dyDescent="0.25">
      <c r="A1659" s="823"/>
    </row>
    <row r="1660" spans="1:1" s="824" customFormat="1" x14ac:dyDescent="0.25">
      <c r="A1660" s="823"/>
    </row>
    <row r="1661" spans="1:1" s="824" customFormat="1" x14ac:dyDescent="0.25">
      <c r="A1661" s="823"/>
    </row>
    <row r="1662" spans="1:1" s="824" customFormat="1" x14ac:dyDescent="0.25">
      <c r="A1662" s="823"/>
    </row>
    <row r="1663" spans="1:1" s="824" customFormat="1" x14ac:dyDescent="0.25">
      <c r="A1663" s="823"/>
    </row>
    <row r="1664" spans="1:1" s="824" customFormat="1" x14ac:dyDescent="0.25">
      <c r="A1664" s="823"/>
    </row>
    <row r="1665" spans="1:1" s="824" customFormat="1" x14ac:dyDescent="0.25">
      <c r="A1665" s="823"/>
    </row>
    <row r="1666" spans="1:1" s="824" customFormat="1" x14ac:dyDescent="0.25">
      <c r="A1666" s="823"/>
    </row>
    <row r="1667" spans="1:1" s="824" customFormat="1" x14ac:dyDescent="0.25">
      <c r="A1667" s="823"/>
    </row>
    <row r="1668" spans="1:1" s="824" customFormat="1" x14ac:dyDescent="0.25">
      <c r="A1668" s="823"/>
    </row>
    <row r="1669" spans="1:1" s="824" customFormat="1" x14ac:dyDescent="0.25">
      <c r="A1669" s="823"/>
    </row>
    <row r="1670" spans="1:1" s="824" customFormat="1" x14ac:dyDescent="0.25">
      <c r="A1670" s="823"/>
    </row>
    <row r="1671" spans="1:1" s="824" customFormat="1" x14ac:dyDescent="0.25">
      <c r="A1671" s="823"/>
    </row>
    <row r="1672" spans="1:1" s="824" customFormat="1" x14ac:dyDescent="0.25">
      <c r="A1672" s="823"/>
    </row>
    <row r="1673" spans="1:1" s="824" customFormat="1" x14ac:dyDescent="0.25">
      <c r="A1673" s="823"/>
    </row>
    <row r="1674" spans="1:1" s="824" customFormat="1" x14ac:dyDescent="0.25">
      <c r="A1674" s="823"/>
    </row>
    <row r="1675" spans="1:1" s="824" customFormat="1" x14ac:dyDescent="0.25">
      <c r="A1675" s="823"/>
    </row>
    <row r="1676" spans="1:1" s="824" customFormat="1" x14ac:dyDescent="0.25">
      <c r="A1676" s="823"/>
    </row>
    <row r="1677" spans="1:1" s="824" customFormat="1" x14ac:dyDescent="0.25">
      <c r="A1677" s="823"/>
    </row>
    <row r="1678" spans="1:1" s="824" customFormat="1" x14ac:dyDescent="0.25">
      <c r="A1678" s="823"/>
    </row>
    <row r="1679" spans="1:1" s="824" customFormat="1" x14ac:dyDescent="0.25">
      <c r="A1679" s="823"/>
    </row>
    <row r="1680" spans="1:1" s="824" customFormat="1" x14ac:dyDescent="0.25">
      <c r="A1680" s="823"/>
    </row>
    <row r="1681" spans="1:1" s="824" customFormat="1" x14ac:dyDescent="0.25">
      <c r="A1681" s="823"/>
    </row>
    <row r="1682" spans="1:1" s="824" customFormat="1" x14ac:dyDescent="0.25">
      <c r="A1682" s="823"/>
    </row>
    <row r="1683" spans="1:1" s="824" customFormat="1" x14ac:dyDescent="0.25">
      <c r="A1683" s="823"/>
    </row>
    <row r="1684" spans="1:1" s="824" customFormat="1" x14ac:dyDescent="0.25">
      <c r="A1684" s="823"/>
    </row>
    <row r="1685" spans="1:1" s="824" customFormat="1" x14ac:dyDescent="0.25">
      <c r="A1685" s="823"/>
    </row>
    <row r="1686" spans="1:1" s="824" customFormat="1" x14ac:dyDescent="0.25">
      <c r="A1686" s="823"/>
    </row>
    <row r="1687" spans="1:1" s="824" customFormat="1" x14ac:dyDescent="0.25">
      <c r="A1687" s="823"/>
    </row>
    <row r="1688" spans="1:1" s="824" customFormat="1" x14ac:dyDescent="0.25">
      <c r="A1688" s="823"/>
    </row>
    <row r="1689" spans="1:1" s="824" customFormat="1" x14ac:dyDescent="0.25">
      <c r="A1689" s="823"/>
    </row>
    <row r="1690" spans="1:1" s="824" customFormat="1" x14ac:dyDescent="0.25">
      <c r="A1690" s="823"/>
    </row>
    <row r="1691" spans="1:1" s="824" customFormat="1" x14ac:dyDescent="0.25">
      <c r="A1691" s="823"/>
    </row>
    <row r="1692" spans="1:1" s="824" customFormat="1" x14ac:dyDescent="0.25">
      <c r="A1692" s="823"/>
    </row>
    <row r="1693" spans="1:1" s="824" customFormat="1" x14ac:dyDescent="0.25">
      <c r="A1693" s="823"/>
    </row>
    <row r="1694" spans="1:1" s="824" customFormat="1" x14ac:dyDescent="0.25">
      <c r="A1694" s="823"/>
    </row>
    <row r="1695" spans="1:1" s="824" customFormat="1" x14ac:dyDescent="0.25">
      <c r="A1695" s="823"/>
    </row>
    <row r="1696" spans="1:1" s="824" customFormat="1" x14ac:dyDescent="0.25">
      <c r="A1696" s="823"/>
    </row>
    <row r="1697" spans="1:1" s="824" customFormat="1" x14ac:dyDescent="0.25">
      <c r="A1697" s="823"/>
    </row>
    <row r="1698" spans="1:1" s="824" customFormat="1" x14ac:dyDescent="0.25">
      <c r="A1698" s="823"/>
    </row>
    <row r="1699" spans="1:1" s="824" customFormat="1" x14ac:dyDescent="0.25">
      <c r="A1699" s="823"/>
    </row>
    <row r="1700" spans="1:1" s="824" customFormat="1" x14ac:dyDescent="0.25">
      <c r="A1700" s="823"/>
    </row>
    <row r="1701" spans="1:1" s="824" customFormat="1" x14ac:dyDescent="0.25">
      <c r="A1701" s="823"/>
    </row>
    <row r="1702" spans="1:1" s="824" customFormat="1" x14ac:dyDescent="0.25">
      <c r="A1702" s="823"/>
    </row>
    <row r="1703" spans="1:1" s="824" customFormat="1" x14ac:dyDescent="0.25">
      <c r="A1703" s="823"/>
    </row>
    <row r="1704" spans="1:1" s="824" customFormat="1" x14ac:dyDescent="0.25">
      <c r="A1704" s="823"/>
    </row>
    <row r="1705" spans="1:1" s="824" customFormat="1" x14ac:dyDescent="0.25">
      <c r="A1705" s="823"/>
    </row>
    <row r="1706" spans="1:1" s="824" customFormat="1" x14ac:dyDescent="0.25">
      <c r="A1706" s="823"/>
    </row>
    <row r="1707" spans="1:1" s="824" customFormat="1" x14ac:dyDescent="0.25">
      <c r="A1707" s="823"/>
    </row>
    <row r="1708" spans="1:1" s="824" customFormat="1" x14ac:dyDescent="0.25">
      <c r="A1708" s="823"/>
    </row>
    <row r="1709" spans="1:1" s="824" customFormat="1" x14ac:dyDescent="0.25">
      <c r="A1709" s="823"/>
    </row>
    <row r="1710" spans="1:1" s="824" customFormat="1" x14ac:dyDescent="0.25">
      <c r="A1710" s="823"/>
    </row>
    <row r="1711" spans="1:1" s="824" customFormat="1" x14ac:dyDescent="0.25">
      <c r="A1711" s="823"/>
    </row>
    <row r="1712" spans="1:1" s="824" customFormat="1" x14ac:dyDescent="0.25">
      <c r="A1712" s="823"/>
    </row>
    <row r="1713" spans="1:1" s="824" customFormat="1" x14ac:dyDescent="0.25">
      <c r="A1713" s="823"/>
    </row>
    <row r="1714" spans="1:1" s="824" customFormat="1" x14ac:dyDescent="0.25">
      <c r="A1714" s="823"/>
    </row>
    <row r="1715" spans="1:1" s="824" customFormat="1" x14ac:dyDescent="0.25">
      <c r="A1715" s="823"/>
    </row>
    <row r="1716" spans="1:1" s="824" customFormat="1" x14ac:dyDescent="0.25">
      <c r="A1716" s="823"/>
    </row>
    <row r="1717" spans="1:1" s="824" customFormat="1" x14ac:dyDescent="0.25">
      <c r="A1717" s="823"/>
    </row>
    <row r="1718" spans="1:1" s="824" customFormat="1" x14ac:dyDescent="0.25">
      <c r="A1718" s="823"/>
    </row>
    <row r="1719" spans="1:1" s="824" customFormat="1" x14ac:dyDescent="0.25">
      <c r="A1719" s="823"/>
    </row>
    <row r="1720" spans="1:1" s="824" customFormat="1" x14ac:dyDescent="0.25">
      <c r="A1720" s="823"/>
    </row>
    <row r="1721" spans="1:1" s="824" customFormat="1" x14ac:dyDescent="0.25">
      <c r="A1721" s="823"/>
    </row>
    <row r="1722" spans="1:1" s="824" customFormat="1" x14ac:dyDescent="0.25">
      <c r="A1722" s="823"/>
    </row>
    <row r="1723" spans="1:1" s="824" customFormat="1" x14ac:dyDescent="0.25">
      <c r="A1723" s="823"/>
    </row>
    <row r="1724" spans="1:1" s="824" customFormat="1" x14ac:dyDescent="0.25">
      <c r="A1724" s="823"/>
    </row>
    <row r="1725" spans="1:1" s="824" customFormat="1" x14ac:dyDescent="0.25">
      <c r="A1725" s="823"/>
    </row>
    <row r="1726" spans="1:1" s="824" customFormat="1" x14ac:dyDescent="0.25">
      <c r="A1726" s="823"/>
    </row>
    <row r="1727" spans="1:1" s="824" customFormat="1" x14ac:dyDescent="0.25">
      <c r="A1727" s="823"/>
    </row>
    <row r="1728" spans="1:1" s="824" customFormat="1" x14ac:dyDescent="0.25">
      <c r="A1728" s="823"/>
    </row>
    <row r="1729" spans="1:1" s="824" customFormat="1" x14ac:dyDescent="0.25">
      <c r="A1729" s="823"/>
    </row>
    <row r="1730" spans="1:1" s="824" customFormat="1" x14ac:dyDescent="0.25">
      <c r="A1730" s="823"/>
    </row>
    <row r="1731" spans="1:1" s="824" customFormat="1" x14ac:dyDescent="0.25">
      <c r="A1731" s="823"/>
    </row>
    <row r="1732" spans="1:1" s="824" customFormat="1" x14ac:dyDescent="0.25">
      <c r="A1732" s="823"/>
    </row>
    <row r="1733" spans="1:1" s="824" customFormat="1" x14ac:dyDescent="0.25">
      <c r="A1733" s="823"/>
    </row>
    <row r="1734" spans="1:1" s="824" customFormat="1" x14ac:dyDescent="0.25">
      <c r="A1734" s="823"/>
    </row>
    <row r="1735" spans="1:1" s="824" customFormat="1" x14ac:dyDescent="0.25">
      <c r="A1735" s="823"/>
    </row>
    <row r="1736" spans="1:1" s="824" customFormat="1" x14ac:dyDescent="0.25">
      <c r="A1736" s="823"/>
    </row>
    <row r="1737" spans="1:1" s="824" customFormat="1" x14ac:dyDescent="0.25">
      <c r="A1737" s="823"/>
    </row>
    <row r="1738" spans="1:1" s="824" customFormat="1" x14ac:dyDescent="0.25">
      <c r="A1738" s="823"/>
    </row>
    <row r="1739" spans="1:1" s="824" customFormat="1" x14ac:dyDescent="0.25">
      <c r="A1739" s="823"/>
    </row>
    <row r="1740" spans="1:1" s="824" customFormat="1" x14ac:dyDescent="0.25">
      <c r="A1740" s="823"/>
    </row>
    <row r="1741" spans="1:1" s="824" customFormat="1" x14ac:dyDescent="0.25">
      <c r="A1741" s="823"/>
    </row>
    <row r="1742" spans="1:1" s="824" customFormat="1" x14ac:dyDescent="0.25">
      <c r="A1742" s="823"/>
    </row>
    <row r="1743" spans="1:1" s="824" customFormat="1" x14ac:dyDescent="0.25">
      <c r="A1743" s="823"/>
    </row>
    <row r="1744" spans="1:1" s="824" customFormat="1" x14ac:dyDescent="0.25">
      <c r="A1744" s="823"/>
    </row>
    <row r="1745" spans="1:1" s="824" customFormat="1" x14ac:dyDescent="0.25">
      <c r="A1745" s="823"/>
    </row>
    <row r="1746" spans="1:1" s="824" customFormat="1" x14ac:dyDescent="0.25">
      <c r="A1746" s="823"/>
    </row>
    <row r="1747" spans="1:1" s="824" customFormat="1" x14ac:dyDescent="0.25">
      <c r="A1747" s="823"/>
    </row>
    <row r="1748" spans="1:1" s="824" customFormat="1" x14ac:dyDescent="0.25">
      <c r="A1748" s="823"/>
    </row>
    <row r="1749" spans="1:1" s="824" customFormat="1" x14ac:dyDescent="0.25">
      <c r="A1749" s="823"/>
    </row>
    <row r="1750" spans="1:1" s="824" customFormat="1" x14ac:dyDescent="0.25">
      <c r="A1750" s="823"/>
    </row>
    <row r="1751" spans="1:1" s="824" customFormat="1" x14ac:dyDescent="0.25">
      <c r="A1751" s="823"/>
    </row>
    <row r="1752" spans="1:1" s="824" customFormat="1" x14ac:dyDescent="0.25">
      <c r="A1752" s="823"/>
    </row>
    <row r="1753" spans="1:1" s="824" customFormat="1" x14ac:dyDescent="0.25">
      <c r="A1753" s="823"/>
    </row>
    <row r="1754" spans="1:1" s="824" customFormat="1" x14ac:dyDescent="0.25">
      <c r="A1754" s="823"/>
    </row>
    <row r="1755" spans="1:1" s="824" customFormat="1" x14ac:dyDescent="0.25">
      <c r="A1755" s="823"/>
    </row>
    <row r="1756" spans="1:1" s="824" customFormat="1" x14ac:dyDescent="0.25">
      <c r="A1756" s="823"/>
    </row>
    <row r="1757" spans="1:1" s="824" customFormat="1" x14ac:dyDescent="0.25">
      <c r="A1757" s="823"/>
    </row>
    <row r="1758" spans="1:1" s="824" customFormat="1" x14ac:dyDescent="0.25">
      <c r="A1758" s="823"/>
    </row>
    <row r="1759" spans="1:1" s="824" customFormat="1" x14ac:dyDescent="0.25">
      <c r="A1759" s="823"/>
    </row>
    <row r="1760" spans="1:1" s="824" customFormat="1" x14ac:dyDescent="0.25">
      <c r="A1760" s="823"/>
    </row>
    <row r="1761" spans="1:1" s="824" customFormat="1" x14ac:dyDescent="0.25">
      <c r="A1761" s="823"/>
    </row>
    <row r="1762" spans="1:1" s="824" customFormat="1" x14ac:dyDescent="0.25">
      <c r="A1762" s="823"/>
    </row>
    <row r="1763" spans="1:1" s="824" customFormat="1" x14ac:dyDescent="0.25">
      <c r="A1763" s="823"/>
    </row>
    <row r="1764" spans="1:1" s="824" customFormat="1" x14ac:dyDescent="0.25">
      <c r="A1764" s="823"/>
    </row>
    <row r="1765" spans="1:1" s="824" customFormat="1" x14ac:dyDescent="0.25">
      <c r="A1765" s="823"/>
    </row>
    <row r="1766" spans="1:1" s="824" customFormat="1" x14ac:dyDescent="0.25">
      <c r="A1766" s="823"/>
    </row>
    <row r="1767" spans="1:1" s="824" customFormat="1" x14ac:dyDescent="0.25">
      <c r="A1767" s="823"/>
    </row>
    <row r="1768" spans="1:1" s="824" customFormat="1" x14ac:dyDescent="0.25">
      <c r="A1768" s="823"/>
    </row>
    <row r="1769" spans="1:1" s="824" customFormat="1" x14ac:dyDescent="0.25">
      <c r="A1769" s="823"/>
    </row>
    <row r="1770" spans="1:1" s="824" customFormat="1" x14ac:dyDescent="0.25">
      <c r="A1770" s="823"/>
    </row>
    <row r="1771" spans="1:1" s="824" customFormat="1" x14ac:dyDescent="0.25">
      <c r="A1771" s="823"/>
    </row>
    <row r="1772" spans="1:1" s="824" customFormat="1" x14ac:dyDescent="0.25">
      <c r="A1772" s="823"/>
    </row>
    <row r="1773" spans="1:1" s="824" customFormat="1" x14ac:dyDescent="0.25">
      <c r="A1773" s="823"/>
    </row>
    <row r="1774" spans="1:1" s="824" customFormat="1" x14ac:dyDescent="0.25">
      <c r="A1774" s="823"/>
    </row>
    <row r="1775" spans="1:1" s="824" customFormat="1" x14ac:dyDescent="0.25">
      <c r="A1775" s="823"/>
    </row>
    <row r="1776" spans="1:1" s="824" customFormat="1" x14ac:dyDescent="0.25">
      <c r="A1776" s="823"/>
    </row>
    <row r="1777" spans="1:1" s="824" customFormat="1" x14ac:dyDescent="0.25">
      <c r="A1777" s="823"/>
    </row>
    <row r="1778" spans="1:1" s="824" customFormat="1" x14ac:dyDescent="0.25">
      <c r="A1778" s="823"/>
    </row>
    <row r="1779" spans="1:1" s="824" customFormat="1" x14ac:dyDescent="0.25">
      <c r="A1779" s="823"/>
    </row>
    <row r="1780" spans="1:1" s="824" customFormat="1" x14ac:dyDescent="0.25">
      <c r="A1780" s="823"/>
    </row>
    <row r="1781" spans="1:1" s="824" customFormat="1" x14ac:dyDescent="0.25">
      <c r="A1781" s="823"/>
    </row>
    <row r="1782" spans="1:1" s="824" customFormat="1" x14ac:dyDescent="0.25">
      <c r="A1782" s="823"/>
    </row>
    <row r="1783" spans="1:1" s="824" customFormat="1" x14ac:dyDescent="0.25">
      <c r="A1783" s="823"/>
    </row>
    <row r="1784" spans="1:1" s="824" customFormat="1" x14ac:dyDescent="0.25">
      <c r="A1784" s="823"/>
    </row>
    <row r="1785" spans="1:1" s="824" customFormat="1" x14ac:dyDescent="0.25">
      <c r="A1785" s="823"/>
    </row>
    <row r="1786" spans="1:1" s="824" customFormat="1" x14ac:dyDescent="0.25">
      <c r="A1786" s="823"/>
    </row>
    <row r="1787" spans="1:1" s="824" customFormat="1" x14ac:dyDescent="0.25">
      <c r="A1787" s="823"/>
    </row>
    <row r="1788" spans="1:1" s="824" customFormat="1" x14ac:dyDescent="0.25">
      <c r="A1788" s="823"/>
    </row>
    <row r="1789" spans="1:1" s="824" customFormat="1" x14ac:dyDescent="0.25">
      <c r="A1789" s="823"/>
    </row>
    <row r="1790" spans="1:1" s="824" customFormat="1" x14ac:dyDescent="0.25">
      <c r="A1790" s="823"/>
    </row>
    <row r="1791" spans="1:1" s="824" customFormat="1" x14ac:dyDescent="0.25">
      <c r="A1791" s="823"/>
    </row>
    <row r="1792" spans="1:1" s="824" customFormat="1" x14ac:dyDescent="0.25">
      <c r="A1792" s="823"/>
    </row>
    <row r="1793" spans="1:1" s="824" customFormat="1" x14ac:dyDescent="0.25">
      <c r="A1793" s="823"/>
    </row>
    <row r="1794" spans="1:1" s="824" customFormat="1" x14ac:dyDescent="0.25">
      <c r="A1794" s="823"/>
    </row>
    <row r="1795" spans="1:1" s="824" customFormat="1" x14ac:dyDescent="0.25">
      <c r="A1795" s="823"/>
    </row>
    <row r="1796" spans="1:1" s="824" customFormat="1" x14ac:dyDescent="0.25">
      <c r="A1796" s="823"/>
    </row>
    <row r="1797" spans="1:1" s="824" customFormat="1" x14ac:dyDescent="0.25">
      <c r="A1797" s="823"/>
    </row>
    <row r="1798" spans="1:1" s="824" customFormat="1" x14ac:dyDescent="0.25">
      <c r="A1798" s="823"/>
    </row>
    <row r="1799" spans="1:1" s="824" customFormat="1" x14ac:dyDescent="0.25">
      <c r="A1799" s="823"/>
    </row>
    <row r="1800" spans="1:1" s="824" customFormat="1" x14ac:dyDescent="0.25">
      <c r="A1800" s="823"/>
    </row>
    <row r="1801" spans="1:1" s="824" customFormat="1" x14ac:dyDescent="0.25">
      <c r="A1801" s="823"/>
    </row>
    <row r="1802" spans="1:1" s="824" customFormat="1" x14ac:dyDescent="0.25">
      <c r="A1802" s="823"/>
    </row>
    <row r="1803" spans="1:1" s="824" customFormat="1" x14ac:dyDescent="0.25">
      <c r="A1803" s="823"/>
    </row>
    <row r="1804" spans="1:1" s="824" customFormat="1" x14ac:dyDescent="0.25">
      <c r="A1804" s="823"/>
    </row>
    <row r="1805" spans="1:1" s="824" customFormat="1" x14ac:dyDescent="0.25">
      <c r="A1805" s="823"/>
    </row>
    <row r="1806" spans="1:1" s="824" customFormat="1" x14ac:dyDescent="0.25">
      <c r="A1806" s="823"/>
    </row>
    <row r="1807" spans="1:1" s="824" customFormat="1" x14ac:dyDescent="0.25">
      <c r="A1807" s="823"/>
    </row>
    <row r="1808" spans="1:1" s="824" customFormat="1" x14ac:dyDescent="0.25">
      <c r="A1808" s="823"/>
    </row>
    <row r="1809" spans="1:1" s="824" customFormat="1" x14ac:dyDescent="0.25">
      <c r="A1809" s="823"/>
    </row>
    <row r="1810" spans="1:1" s="824" customFormat="1" x14ac:dyDescent="0.25">
      <c r="A1810" s="823"/>
    </row>
    <row r="1811" spans="1:1" s="824" customFormat="1" x14ac:dyDescent="0.25">
      <c r="A1811" s="823"/>
    </row>
    <row r="1812" spans="1:1" s="824" customFormat="1" x14ac:dyDescent="0.25">
      <c r="A1812" s="823"/>
    </row>
    <row r="1813" spans="1:1" s="824" customFormat="1" x14ac:dyDescent="0.25">
      <c r="A1813" s="823"/>
    </row>
    <row r="1814" spans="1:1" s="824" customFormat="1" x14ac:dyDescent="0.25">
      <c r="A1814" s="823"/>
    </row>
    <row r="1815" spans="1:1" s="824" customFormat="1" x14ac:dyDescent="0.25">
      <c r="A1815" s="823"/>
    </row>
    <row r="1816" spans="1:1" s="824" customFormat="1" x14ac:dyDescent="0.25">
      <c r="A1816" s="823"/>
    </row>
    <row r="1817" spans="1:1" s="824" customFormat="1" x14ac:dyDescent="0.25">
      <c r="A1817" s="823"/>
    </row>
    <row r="1818" spans="1:1" s="824" customFormat="1" x14ac:dyDescent="0.25">
      <c r="A1818" s="823"/>
    </row>
    <row r="1819" spans="1:1" s="824" customFormat="1" x14ac:dyDescent="0.25">
      <c r="A1819" s="823"/>
    </row>
    <row r="1820" spans="1:1" s="824" customFormat="1" x14ac:dyDescent="0.25">
      <c r="A1820" s="823"/>
    </row>
    <row r="1821" spans="1:1" s="824" customFormat="1" x14ac:dyDescent="0.25">
      <c r="A1821" s="823"/>
    </row>
    <row r="1822" spans="1:1" s="824" customFormat="1" x14ac:dyDescent="0.25">
      <c r="A1822" s="823"/>
    </row>
    <row r="1823" spans="1:1" s="824" customFormat="1" x14ac:dyDescent="0.25">
      <c r="A1823" s="823"/>
    </row>
    <row r="1824" spans="1:1" s="824" customFormat="1" x14ac:dyDescent="0.25">
      <c r="A1824" s="823"/>
    </row>
    <row r="1825" spans="1:1" s="824" customFormat="1" x14ac:dyDescent="0.25">
      <c r="A1825" s="823"/>
    </row>
    <row r="1826" spans="1:1" s="824" customFormat="1" x14ac:dyDescent="0.25">
      <c r="A1826" s="823"/>
    </row>
    <row r="1827" spans="1:1" s="824" customFormat="1" x14ac:dyDescent="0.25">
      <c r="A1827" s="823"/>
    </row>
    <row r="1828" spans="1:1" s="824" customFormat="1" x14ac:dyDescent="0.25">
      <c r="A1828" s="823"/>
    </row>
    <row r="1829" spans="1:1" s="824" customFormat="1" x14ac:dyDescent="0.25">
      <c r="A1829" s="823"/>
    </row>
    <row r="1830" spans="1:1" s="824" customFormat="1" x14ac:dyDescent="0.25">
      <c r="A1830" s="823"/>
    </row>
    <row r="1831" spans="1:1" s="824" customFormat="1" x14ac:dyDescent="0.25">
      <c r="A1831" s="823"/>
    </row>
    <row r="1832" spans="1:1" s="824" customFormat="1" x14ac:dyDescent="0.25">
      <c r="A1832" s="823"/>
    </row>
    <row r="1833" spans="1:1" s="824" customFormat="1" x14ac:dyDescent="0.25">
      <c r="A1833" s="823"/>
    </row>
    <row r="1834" spans="1:1" s="824" customFormat="1" x14ac:dyDescent="0.25">
      <c r="A1834" s="823"/>
    </row>
    <row r="1835" spans="1:1" s="824" customFormat="1" x14ac:dyDescent="0.25">
      <c r="A1835" s="823"/>
    </row>
    <row r="1836" spans="1:1" s="824" customFormat="1" x14ac:dyDescent="0.25">
      <c r="A1836" s="823"/>
    </row>
    <row r="1837" spans="1:1" s="824" customFormat="1" x14ac:dyDescent="0.25">
      <c r="A1837" s="823"/>
    </row>
    <row r="1838" spans="1:1" s="824" customFormat="1" x14ac:dyDescent="0.25">
      <c r="A1838" s="823"/>
    </row>
    <row r="1839" spans="1:1" s="824" customFormat="1" x14ac:dyDescent="0.25">
      <c r="A1839" s="823"/>
    </row>
    <row r="1840" spans="1:1" s="824" customFormat="1" x14ac:dyDescent="0.25">
      <c r="A1840" s="823"/>
    </row>
    <row r="1841" spans="1:1" s="824" customFormat="1" x14ac:dyDescent="0.25">
      <c r="A1841" s="823"/>
    </row>
    <row r="1842" spans="1:1" s="824" customFormat="1" x14ac:dyDescent="0.25">
      <c r="A1842" s="823"/>
    </row>
    <row r="1843" spans="1:1" s="824" customFormat="1" x14ac:dyDescent="0.25">
      <c r="A1843" s="823"/>
    </row>
    <row r="1844" spans="1:1" s="824" customFormat="1" x14ac:dyDescent="0.25">
      <c r="A1844" s="823"/>
    </row>
    <row r="1845" spans="1:1" s="824" customFormat="1" x14ac:dyDescent="0.25">
      <c r="A1845" s="823"/>
    </row>
    <row r="1846" spans="1:1" s="824" customFormat="1" x14ac:dyDescent="0.25">
      <c r="A1846" s="823"/>
    </row>
    <row r="1847" spans="1:1" s="824" customFormat="1" x14ac:dyDescent="0.25">
      <c r="A1847" s="823"/>
    </row>
    <row r="1848" spans="1:1" s="824" customFormat="1" x14ac:dyDescent="0.25">
      <c r="A1848" s="823"/>
    </row>
    <row r="1849" spans="1:1" s="824" customFormat="1" x14ac:dyDescent="0.25">
      <c r="A1849" s="823"/>
    </row>
    <row r="1850" spans="1:1" s="824" customFormat="1" x14ac:dyDescent="0.25">
      <c r="A1850" s="823"/>
    </row>
    <row r="1851" spans="1:1" s="824" customFormat="1" x14ac:dyDescent="0.25">
      <c r="A1851" s="823"/>
    </row>
    <row r="1852" spans="1:1" s="824" customFormat="1" x14ac:dyDescent="0.25">
      <c r="A1852" s="823"/>
    </row>
    <row r="1853" spans="1:1" s="824" customFormat="1" x14ac:dyDescent="0.25">
      <c r="A1853" s="823"/>
    </row>
    <row r="1854" spans="1:1" s="824" customFormat="1" x14ac:dyDescent="0.25">
      <c r="A1854" s="823"/>
    </row>
    <row r="1855" spans="1:1" s="824" customFormat="1" x14ac:dyDescent="0.25">
      <c r="A1855" s="823"/>
    </row>
    <row r="1856" spans="1:1" s="824" customFormat="1" x14ac:dyDescent="0.25">
      <c r="A1856" s="823"/>
    </row>
    <row r="1857" spans="1:1" s="824" customFormat="1" x14ac:dyDescent="0.25">
      <c r="A1857" s="823"/>
    </row>
    <row r="1858" spans="1:1" s="824" customFormat="1" x14ac:dyDescent="0.25">
      <c r="A1858" s="823"/>
    </row>
    <row r="1859" spans="1:1" s="824" customFormat="1" x14ac:dyDescent="0.25">
      <c r="A1859" s="823"/>
    </row>
    <row r="1860" spans="1:1" s="824" customFormat="1" x14ac:dyDescent="0.25">
      <c r="A1860" s="823"/>
    </row>
    <row r="1861" spans="1:1" s="824" customFormat="1" x14ac:dyDescent="0.25">
      <c r="A1861" s="823"/>
    </row>
    <row r="1862" spans="1:1" s="824" customFormat="1" x14ac:dyDescent="0.25">
      <c r="A1862" s="823"/>
    </row>
    <row r="1863" spans="1:1" s="824" customFormat="1" x14ac:dyDescent="0.25">
      <c r="A1863" s="823"/>
    </row>
    <row r="1864" spans="1:1" s="824" customFormat="1" x14ac:dyDescent="0.25">
      <c r="A1864" s="823"/>
    </row>
    <row r="1865" spans="1:1" s="824" customFormat="1" x14ac:dyDescent="0.25">
      <c r="A1865" s="823"/>
    </row>
    <row r="1866" spans="1:1" s="824" customFormat="1" x14ac:dyDescent="0.25">
      <c r="A1866" s="823"/>
    </row>
    <row r="1867" spans="1:1" s="824" customFormat="1" x14ac:dyDescent="0.25">
      <c r="A1867" s="823"/>
    </row>
    <row r="1868" spans="1:1" s="824" customFormat="1" x14ac:dyDescent="0.25">
      <c r="A1868" s="823"/>
    </row>
    <row r="1869" spans="1:1" s="824" customFormat="1" x14ac:dyDescent="0.25">
      <c r="A1869" s="823"/>
    </row>
    <row r="1870" spans="1:1" s="824" customFormat="1" x14ac:dyDescent="0.25">
      <c r="A1870" s="823"/>
    </row>
    <row r="1871" spans="1:1" s="824" customFormat="1" x14ac:dyDescent="0.25">
      <c r="A1871" s="823"/>
    </row>
    <row r="1872" spans="1:1" s="824" customFormat="1" x14ac:dyDescent="0.25">
      <c r="A1872" s="823"/>
    </row>
    <row r="1873" spans="1:1" s="824" customFormat="1" x14ac:dyDescent="0.25">
      <c r="A1873" s="823"/>
    </row>
    <row r="1874" spans="1:1" s="824" customFormat="1" x14ac:dyDescent="0.25">
      <c r="A1874" s="823"/>
    </row>
    <row r="1875" spans="1:1" s="824" customFormat="1" x14ac:dyDescent="0.25">
      <c r="A1875" s="823"/>
    </row>
    <row r="1876" spans="1:1" s="824" customFormat="1" x14ac:dyDescent="0.25">
      <c r="A1876" s="823"/>
    </row>
    <row r="1877" spans="1:1" s="824" customFormat="1" x14ac:dyDescent="0.25">
      <c r="A1877" s="823"/>
    </row>
    <row r="1878" spans="1:1" s="824" customFormat="1" x14ac:dyDescent="0.25">
      <c r="A1878" s="823"/>
    </row>
    <row r="1879" spans="1:1" s="824" customFormat="1" x14ac:dyDescent="0.25">
      <c r="A1879" s="823"/>
    </row>
    <row r="1880" spans="1:1" s="824" customFormat="1" x14ac:dyDescent="0.25">
      <c r="A1880" s="823"/>
    </row>
    <row r="1881" spans="1:1" s="824" customFormat="1" x14ac:dyDescent="0.25">
      <c r="A1881" s="823"/>
    </row>
    <row r="1882" spans="1:1" s="824" customFormat="1" x14ac:dyDescent="0.25">
      <c r="A1882" s="823"/>
    </row>
    <row r="1883" spans="1:1" s="824" customFormat="1" x14ac:dyDescent="0.25">
      <c r="A1883" s="823"/>
    </row>
    <row r="1884" spans="1:1" s="824" customFormat="1" x14ac:dyDescent="0.25">
      <c r="A1884" s="823"/>
    </row>
    <row r="1885" spans="1:1" s="824" customFormat="1" x14ac:dyDescent="0.25">
      <c r="A1885" s="823"/>
    </row>
    <row r="1886" spans="1:1" s="824" customFormat="1" x14ac:dyDescent="0.25">
      <c r="A1886" s="823"/>
    </row>
    <row r="1887" spans="1:1" s="824" customFormat="1" x14ac:dyDescent="0.25">
      <c r="A1887" s="823"/>
    </row>
    <row r="1888" spans="1:1" s="824" customFormat="1" x14ac:dyDescent="0.25">
      <c r="A1888" s="823"/>
    </row>
    <row r="1889" spans="1:1" s="824" customFormat="1" x14ac:dyDescent="0.25">
      <c r="A1889" s="823"/>
    </row>
    <row r="1890" spans="1:1" s="824" customFormat="1" x14ac:dyDescent="0.25">
      <c r="A1890" s="823"/>
    </row>
    <row r="1891" spans="1:1" s="824" customFormat="1" x14ac:dyDescent="0.25">
      <c r="A1891" s="823"/>
    </row>
    <row r="1892" spans="1:1" s="824" customFormat="1" x14ac:dyDescent="0.25">
      <c r="A1892" s="823"/>
    </row>
    <row r="1893" spans="1:1" s="824" customFormat="1" x14ac:dyDescent="0.25">
      <c r="A1893" s="823"/>
    </row>
    <row r="1894" spans="1:1" s="824" customFormat="1" x14ac:dyDescent="0.25">
      <c r="A1894" s="823"/>
    </row>
    <row r="1895" spans="1:1" s="824" customFormat="1" x14ac:dyDescent="0.25">
      <c r="A1895" s="823"/>
    </row>
    <row r="1896" spans="1:1" s="824" customFormat="1" x14ac:dyDescent="0.25">
      <c r="A1896" s="823"/>
    </row>
    <row r="1897" spans="1:1" s="824" customFormat="1" x14ac:dyDescent="0.25">
      <c r="A1897" s="823"/>
    </row>
    <row r="1898" spans="1:1" s="824" customFormat="1" x14ac:dyDescent="0.25">
      <c r="A1898" s="823"/>
    </row>
    <row r="1899" spans="1:1" s="824" customFormat="1" x14ac:dyDescent="0.25">
      <c r="A1899" s="823"/>
    </row>
    <row r="1900" spans="1:1" s="824" customFormat="1" x14ac:dyDescent="0.25">
      <c r="A1900" s="823"/>
    </row>
    <row r="1901" spans="1:1" s="824" customFormat="1" x14ac:dyDescent="0.25">
      <c r="A1901" s="823"/>
    </row>
    <row r="1902" spans="1:1" s="824" customFormat="1" x14ac:dyDescent="0.25">
      <c r="A1902" s="823"/>
    </row>
    <row r="1903" spans="1:1" s="824" customFormat="1" x14ac:dyDescent="0.25">
      <c r="A1903" s="823"/>
    </row>
    <row r="1904" spans="1:1" s="824" customFormat="1" x14ac:dyDescent="0.25">
      <c r="A1904" s="823"/>
    </row>
    <row r="1905" spans="1:1" s="824" customFormat="1" x14ac:dyDescent="0.25">
      <c r="A1905" s="823"/>
    </row>
    <row r="1906" spans="1:1" s="824" customFormat="1" x14ac:dyDescent="0.25">
      <c r="A1906" s="823"/>
    </row>
    <row r="1907" spans="1:1" s="824" customFormat="1" x14ac:dyDescent="0.25">
      <c r="A1907" s="823"/>
    </row>
    <row r="1908" spans="1:1" s="824" customFormat="1" x14ac:dyDescent="0.25">
      <c r="A1908" s="823"/>
    </row>
    <row r="1909" spans="1:1" s="824" customFormat="1" x14ac:dyDescent="0.25">
      <c r="A1909" s="823"/>
    </row>
    <row r="1910" spans="1:1" s="824" customFormat="1" x14ac:dyDescent="0.25">
      <c r="A1910" s="823"/>
    </row>
    <row r="1911" spans="1:1" s="824" customFormat="1" x14ac:dyDescent="0.25">
      <c r="A1911" s="823"/>
    </row>
    <row r="1912" spans="1:1" s="824" customFormat="1" x14ac:dyDescent="0.25">
      <c r="A1912" s="823"/>
    </row>
    <row r="1913" spans="1:1" s="824" customFormat="1" x14ac:dyDescent="0.25">
      <c r="A1913" s="823"/>
    </row>
    <row r="1914" spans="1:1" s="824" customFormat="1" x14ac:dyDescent="0.25">
      <c r="A1914" s="823"/>
    </row>
    <row r="1915" spans="1:1" s="824" customFormat="1" x14ac:dyDescent="0.25">
      <c r="A1915" s="823"/>
    </row>
    <row r="1916" spans="1:1" s="824" customFormat="1" x14ac:dyDescent="0.25">
      <c r="A1916" s="823"/>
    </row>
    <row r="1917" spans="1:1" s="824" customFormat="1" x14ac:dyDescent="0.25">
      <c r="A1917" s="823"/>
    </row>
    <row r="1918" spans="1:1" s="824" customFormat="1" x14ac:dyDescent="0.25">
      <c r="A1918" s="823"/>
    </row>
    <row r="1919" spans="1:1" s="824" customFormat="1" x14ac:dyDescent="0.25">
      <c r="A1919" s="823"/>
    </row>
    <row r="1920" spans="1:1" s="824" customFormat="1" x14ac:dyDescent="0.25">
      <c r="A1920" s="823"/>
    </row>
    <row r="1921" spans="1:1" s="824" customFormat="1" x14ac:dyDescent="0.25">
      <c r="A1921" s="823"/>
    </row>
    <row r="1922" spans="1:1" s="824" customFormat="1" x14ac:dyDescent="0.25">
      <c r="A1922" s="823"/>
    </row>
    <row r="1923" spans="1:1" s="824" customFormat="1" x14ac:dyDescent="0.25">
      <c r="A1923" s="823"/>
    </row>
    <row r="1924" spans="1:1" s="824" customFormat="1" x14ac:dyDescent="0.25">
      <c r="A1924" s="823"/>
    </row>
    <row r="1925" spans="1:1" s="824" customFormat="1" x14ac:dyDescent="0.25">
      <c r="A1925" s="823"/>
    </row>
    <row r="1926" spans="1:1" s="824" customFormat="1" x14ac:dyDescent="0.25">
      <c r="A1926" s="823"/>
    </row>
    <row r="1927" spans="1:1" s="824" customFormat="1" x14ac:dyDescent="0.25">
      <c r="A1927" s="823"/>
    </row>
    <row r="1928" spans="1:1" s="824" customFormat="1" x14ac:dyDescent="0.25">
      <c r="A1928" s="823"/>
    </row>
    <row r="1929" spans="1:1" s="824" customFormat="1" x14ac:dyDescent="0.25">
      <c r="A1929" s="823"/>
    </row>
    <row r="1930" spans="1:1" s="824" customFormat="1" x14ac:dyDescent="0.25">
      <c r="A1930" s="823"/>
    </row>
    <row r="1931" spans="1:1" s="824" customFormat="1" x14ac:dyDescent="0.25">
      <c r="A1931" s="823"/>
    </row>
    <row r="1932" spans="1:1" s="824" customFormat="1" x14ac:dyDescent="0.25">
      <c r="A1932" s="823"/>
    </row>
    <row r="1933" spans="1:1" s="824" customFormat="1" x14ac:dyDescent="0.25">
      <c r="A1933" s="823"/>
    </row>
    <row r="1934" spans="1:1" s="824" customFormat="1" x14ac:dyDescent="0.25">
      <c r="A1934" s="823"/>
    </row>
    <row r="1935" spans="1:1" s="824" customFormat="1" x14ac:dyDescent="0.25">
      <c r="A1935" s="823"/>
    </row>
    <row r="1936" spans="1:1" s="824" customFormat="1" x14ac:dyDescent="0.25">
      <c r="A1936" s="823"/>
    </row>
    <row r="1937" spans="1:1" s="824" customFormat="1" x14ac:dyDescent="0.25">
      <c r="A1937" s="823"/>
    </row>
    <row r="1938" spans="1:1" s="824" customFormat="1" x14ac:dyDescent="0.25">
      <c r="A1938" s="823"/>
    </row>
    <row r="1939" spans="1:1" s="824" customFormat="1" x14ac:dyDescent="0.25">
      <c r="A1939" s="823"/>
    </row>
    <row r="1940" spans="1:1" s="824" customFormat="1" x14ac:dyDescent="0.25">
      <c r="A1940" s="823"/>
    </row>
    <row r="1941" spans="1:1" s="824" customFormat="1" x14ac:dyDescent="0.25">
      <c r="A1941" s="823"/>
    </row>
    <row r="1942" spans="1:1" s="824" customFormat="1" x14ac:dyDescent="0.25">
      <c r="A1942" s="823"/>
    </row>
    <row r="1943" spans="1:1" s="824" customFormat="1" x14ac:dyDescent="0.25">
      <c r="A1943" s="823"/>
    </row>
    <row r="1944" spans="1:1" s="824" customFormat="1" x14ac:dyDescent="0.25">
      <c r="A1944" s="823"/>
    </row>
    <row r="1945" spans="1:1" s="824" customFormat="1" x14ac:dyDescent="0.25">
      <c r="A1945" s="823"/>
    </row>
    <row r="1946" spans="1:1" s="824" customFormat="1" x14ac:dyDescent="0.25">
      <c r="A1946" s="823"/>
    </row>
    <row r="1947" spans="1:1" s="824" customFormat="1" x14ac:dyDescent="0.25">
      <c r="A1947" s="823"/>
    </row>
    <row r="1948" spans="1:1" s="824" customFormat="1" x14ac:dyDescent="0.25">
      <c r="A1948" s="823"/>
    </row>
    <row r="1949" spans="1:1" s="824" customFormat="1" x14ac:dyDescent="0.25">
      <c r="A1949" s="823"/>
    </row>
    <row r="1950" spans="1:1" s="824" customFormat="1" x14ac:dyDescent="0.25">
      <c r="A1950" s="823"/>
    </row>
    <row r="1951" spans="1:1" s="824" customFormat="1" x14ac:dyDescent="0.25">
      <c r="A1951" s="823"/>
    </row>
    <row r="1952" spans="1:1" s="824" customFormat="1" x14ac:dyDescent="0.25">
      <c r="A1952" s="823"/>
    </row>
    <row r="1953" spans="1:1" s="824" customFormat="1" x14ac:dyDescent="0.25">
      <c r="A1953" s="823"/>
    </row>
    <row r="1954" spans="1:1" s="824" customFormat="1" x14ac:dyDescent="0.25">
      <c r="A1954" s="823"/>
    </row>
    <row r="1955" spans="1:1" s="824" customFormat="1" x14ac:dyDescent="0.25">
      <c r="A1955" s="823"/>
    </row>
    <row r="1956" spans="1:1" s="824" customFormat="1" x14ac:dyDescent="0.25">
      <c r="A1956" s="823"/>
    </row>
    <row r="1957" spans="1:1" s="824" customFormat="1" x14ac:dyDescent="0.25">
      <c r="A1957" s="823"/>
    </row>
    <row r="1958" spans="1:1" s="824" customFormat="1" x14ac:dyDescent="0.25">
      <c r="A1958" s="823"/>
    </row>
    <row r="1959" spans="1:1" s="824" customFormat="1" x14ac:dyDescent="0.25">
      <c r="A1959" s="823"/>
    </row>
    <row r="1960" spans="1:1" s="824" customFormat="1" x14ac:dyDescent="0.25">
      <c r="A1960" s="823"/>
    </row>
    <row r="1961" spans="1:1" s="824" customFormat="1" x14ac:dyDescent="0.25">
      <c r="A1961" s="823"/>
    </row>
    <row r="1962" spans="1:1" s="824" customFormat="1" x14ac:dyDescent="0.25">
      <c r="A1962" s="823"/>
    </row>
    <row r="1963" spans="1:1" s="824" customFormat="1" x14ac:dyDescent="0.25">
      <c r="A1963" s="823"/>
    </row>
    <row r="1964" spans="1:1" s="824" customFormat="1" x14ac:dyDescent="0.25">
      <c r="A1964" s="823"/>
    </row>
    <row r="1965" spans="1:1" s="824" customFormat="1" x14ac:dyDescent="0.25">
      <c r="A1965" s="823"/>
    </row>
    <row r="1966" spans="1:1" s="824" customFormat="1" x14ac:dyDescent="0.25">
      <c r="A1966" s="823"/>
    </row>
    <row r="1967" spans="1:1" s="824" customFormat="1" x14ac:dyDescent="0.25">
      <c r="A1967" s="823"/>
    </row>
    <row r="1968" spans="1:1" s="824" customFormat="1" x14ac:dyDescent="0.25">
      <c r="A1968" s="823"/>
    </row>
    <row r="1969" spans="1:1" s="824" customFormat="1" x14ac:dyDescent="0.25">
      <c r="A1969" s="823"/>
    </row>
    <row r="1970" spans="1:1" s="824" customFormat="1" x14ac:dyDescent="0.25">
      <c r="A1970" s="823"/>
    </row>
    <row r="1971" spans="1:1" s="824" customFormat="1" x14ac:dyDescent="0.25">
      <c r="A1971" s="823"/>
    </row>
    <row r="1972" spans="1:1" s="824" customFormat="1" x14ac:dyDescent="0.25">
      <c r="A1972" s="823"/>
    </row>
    <row r="1973" spans="1:1" s="824" customFormat="1" x14ac:dyDescent="0.25">
      <c r="A1973" s="823"/>
    </row>
    <row r="1974" spans="1:1" s="824" customFormat="1" x14ac:dyDescent="0.25">
      <c r="A1974" s="823"/>
    </row>
    <row r="1975" spans="1:1" s="824" customFormat="1" x14ac:dyDescent="0.25">
      <c r="A1975" s="823"/>
    </row>
    <row r="1976" spans="1:1" s="824" customFormat="1" x14ac:dyDescent="0.25">
      <c r="A1976" s="823"/>
    </row>
    <row r="1977" spans="1:1" s="824" customFormat="1" x14ac:dyDescent="0.25">
      <c r="A1977" s="823"/>
    </row>
    <row r="1978" spans="1:1" s="824" customFormat="1" x14ac:dyDescent="0.25">
      <c r="A1978" s="823"/>
    </row>
    <row r="1979" spans="1:1" s="824" customFormat="1" x14ac:dyDescent="0.25">
      <c r="A1979" s="823"/>
    </row>
    <row r="1980" spans="1:1" s="824" customFormat="1" x14ac:dyDescent="0.25">
      <c r="A1980" s="823"/>
    </row>
    <row r="1981" spans="1:1" s="824" customFormat="1" x14ac:dyDescent="0.25">
      <c r="A1981" s="823"/>
    </row>
    <row r="1982" spans="1:1" s="824" customFormat="1" x14ac:dyDescent="0.25">
      <c r="A1982" s="823"/>
    </row>
    <row r="1983" spans="1:1" s="824" customFormat="1" x14ac:dyDescent="0.25">
      <c r="A1983" s="823"/>
    </row>
    <row r="1984" spans="1:1" s="824" customFormat="1" x14ac:dyDescent="0.25">
      <c r="A1984" s="823"/>
    </row>
    <row r="1985" spans="1:1" s="824" customFormat="1" x14ac:dyDescent="0.25">
      <c r="A1985" s="823"/>
    </row>
    <row r="1986" spans="1:1" s="824" customFormat="1" x14ac:dyDescent="0.25">
      <c r="A1986" s="823"/>
    </row>
    <row r="1987" spans="1:1" s="824" customFormat="1" x14ac:dyDescent="0.25">
      <c r="A1987" s="823"/>
    </row>
    <row r="1988" spans="1:1" s="824" customFormat="1" x14ac:dyDescent="0.25">
      <c r="A1988" s="823"/>
    </row>
    <row r="1989" spans="1:1" s="824" customFormat="1" x14ac:dyDescent="0.25">
      <c r="A1989" s="823"/>
    </row>
    <row r="1990" spans="1:1" s="824" customFormat="1" x14ac:dyDescent="0.25">
      <c r="A1990" s="823"/>
    </row>
    <row r="1991" spans="1:1" s="824" customFormat="1" x14ac:dyDescent="0.25">
      <c r="A1991" s="823"/>
    </row>
    <row r="1992" spans="1:1" s="824" customFormat="1" x14ac:dyDescent="0.25">
      <c r="A1992" s="823"/>
    </row>
    <row r="1993" spans="1:1" s="824" customFormat="1" x14ac:dyDescent="0.25">
      <c r="A1993" s="823"/>
    </row>
    <row r="1994" spans="1:1" s="824" customFormat="1" x14ac:dyDescent="0.25">
      <c r="A1994" s="823"/>
    </row>
    <row r="1995" spans="1:1" s="824" customFormat="1" x14ac:dyDescent="0.25">
      <c r="A1995" s="823"/>
    </row>
    <row r="1996" spans="1:1" s="824" customFormat="1" x14ac:dyDescent="0.25">
      <c r="A1996" s="823"/>
    </row>
    <row r="1997" spans="1:1" s="824" customFormat="1" x14ac:dyDescent="0.25">
      <c r="A1997" s="823"/>
    </row>
    <row r="1998" spans="1:1" s="824" customFormat="1" x14ac:dyDescent="0.25">
      <c r="A1998" s="823"/>
    </row>
    <row r="1999" spans="1:1" s="824" customFormat="1" x14ac:dyDescent="0.25">
      <c r="A1999" s="823"/>
    </row>
    <row r="2000" spans="1:1" s="824" customFormat="1" x14ac:dyDescent="0.25">
      <c r="A2000" s="823"/>
    </row>
    <row r="2001" spans="1:1" s="824" customFormat="1" x14ac:dyDescent="0.25">
      <c r="A2001" s="823"/>
    </row>
    <row r="2002" spans="1:1" s="824" customFormat="1" x14ac:dyDescent="0.25">
      <c r="A2002" s="823"/>
    </row>
    <row r="2003" spans="1:1" s="824" customFormat="1" x14ac:dyDescent="0.25">
      <c r="A2003" s="823"/>
    </row>
    <row r="2004" spans="1:1" s="824" customFormat="1" x14ac:dyDescent="0.25">
      <c r="A2004" s="823"/>
    </row>
    <row r="2005" spans="1:1" s="824" customFormat="1" x14ac:dyDescent="0.25">
      <c r="A2005" s="823"/>
    </row>
    <row r="2006" spans="1:1" s="824" customFormat="1" x14ac:dyDescent="0.25">
      <c r="A2006" s="823"/>
    </row>
    <row r="2007" spans="1:1" s="824" customFormat="1" x14ac:dyDescent="0.25">
      <c r="A2007" s="823"/>
    </row>
    <row r="2008" spans="1:1" s="824" customFormat="1" x14ac:dyDescent="0.25">
      <c r="A2008" s="823"/>
    </row>
    <row r="2009" spans="1:1" s="824" customFormat="1" x14ac:dyDescent="0.25">
      <c r="A2009" s="823"/>
    </row>
    <row r="2010" spans="1:1" s="824" customFormat="1" x14ac:dyDescent="0.25">
      <c r="A2010" s="823"/>
    </row>
    <row r="2011" spans="1:1" s="824" customFormat="1" x14ac:dyDescent="0.25">
      <c r="A2011" s="823"/>
    </row>
    <row r="2012" spans="1:1" s="824" customFormat="1" x14ac:dyDescent="0.25">
      <c r="A2012" s="823"/>
    </row>
    <row r="2013" spans="1:1" s="824" customFormat="1" x14ac:dyDescent="0.25">
      <c r="A2013" s="823"/>
    </row>
    <row r="2014" spans="1:1" s="824" customFormat="1" x14ac:dyDescent="0.25">
      <c r="A2014" s="823"/>
    </row>
    <row r="2015" spans="1:1" s="824" customFormat="1" x14ac:dyDescent="0.25">
      <c r="A2015" s="823"/>
    </row>
    <row r="2016" spans="1:1" s="824" customFormat="1" x14ac:dyDescent="0.25">
      <c r="A2016" s="823"/>
    </row>
    <row r="2017" spans="1:1" s="824" customFormat="1" x14ac:dyDescent="0.25">
      <c r="A2017" s="823"/>
    </row>
    <row r="2018" spans="1:1" s="824" customFormat="1" x14ac:dyDescent="0.25">
      <c r="A2018" s="823"/>
    </row>
    <row r="2019" spans="1:1" s="824" customFormat="1" x14ac:dyDescent="0.25">
      <c r="A2019" s="823"/>
    </row>
    <row r="2020" spans="1:1" s="824" customFormat="1" x14ac:dyDescent="0.25">
      <c r="A2020" s="823"/>
    </row>
    <row r="2021" spans="1:1" s="824" customFormat="1" x14ac:dyDescent="0.25">
      <c r="A2021" s="823"/>
    </row>
    <row r="2022" spans="1:1" s="824" customFormat="1" x14ac:dyDescent="0.25">
      <c r="A2022" s="823"/>
    </row>
    <row r="2023" spans="1:1" s="824" customFormat="1" x14ac:dyDescent="0.25">
      <c r="A2023" s="823"/>
    </row>
    <row r="2024" spans="1:1" s="824" customFormat="1" x14ac:dyDescent="0.25">
      <c r="A2024" s="823"/>
    </row>
    <row r="2025" spans="1:1" s="824" customFormat="1" x14ac:dyDescent="0.25">
      <c r="A2025" s="823"/>
    </row>
    <row r="2026" spans="1:1" s="824" customFormat="1" x14ac:dyDescent="0.25">
      <c r="A2026" s="823"/>
    </row>
    <row r="2027" spans="1:1" s="824" customFormat="1" x14ac:dyDescent="0.25">
      <c r="A2027" s="823"/>
    </row>
    <row r="2028" spans="1:1" s="824" customFormat="1" x14ac:dyDescent="0.25">
      <c r="A2028" s="823"/>
    </row>
    <row r="2029" spans="1:1" s="824" customFormat="1" x14ac:dyDescent="0.25">
      <c r="A2029" s="823"/>
    </row>
    <row r="2030" spans="1:1" s="824" customFormat="1" x14ac:dyDescent="0.25">
      <c r="A2030" s="823"/>
    </row>
    <row r="2031" spans="1:1" s="824" customFormat="1" x14ac:dyDescent="0.25">
      <c r="A2031" s="823"/>
    </row>
    <row r="2032" spans="1:1" s="824" customFormat="1" x14ac:dyDescent="0.25">
      <c r="A2032" s="823"/>
    </row>
    <row r="2033" spans="1:1" s="824" customFormat="1" x14ac:dyDescent="0.25">
      <c r="A2033" s="823"/>
    </row>
    <row r="2034" spans="1:1" s="824" customFormat="1" x14ac:dyDescent="0.25">
      <c r="A2034" s="823"/>
    </row>
    <row r="2035" spans="1:1" s="824" customFormat="1" x14ac:dyDescent="0.25">
      <c r="A2035" s="823"/>
    </row>
    <row r="2036" spans="1:1" s="824" customFormat="1" x14ac:dyDescent="0.25">
      <c r="A2036" s="823"/>
    </row>
    <row r="2037" spans="1:1" s="824" customFormat="1" x14ac:dyDescent="0.25">
      <c r="A2037" s="823"/>
    </row>
    <row r="2038" spans="1:1" s="824" customFormat="1" x14ac:dyDescent="0.25">
      <c r="A2038" s="823"/>
    </row>
    <row r="2039" spans="1:1" s="824" customFormat="1" x14ac:dyDescent="0.25">
      <c r="A2039" s="823"/>
    </row>
    <row r="2040" spans="1:1" s="824" customFormat="1" x14ac:dyDescent="0.25">
      <c r="A2040" s="823"/>
    </row>
    <row r="2041" spans="1:1" s="824" customFormat="1" x14ac:dyDescent="0.25">
      <c r="A2041" s="823"/>
    </row>
    <row r="2042" spans="1:1" s="824" customFormat="1" x14ac:dyDescent="0.25">
      <c r="A2042" s="823"/>
    </row>
    <row r="2043" spans="1:1" s="824" customFormat="1" x14ac:dyDescent="0.25">
      <c r="A2043" s="823"/>
    </row>
    <row r="2044" spans="1:1" s="824" customFormat="1" x14ac:dyDescent="0.25">
      <c r="A2044" s="823"/>
    </row>
    <row r="2045" spans="1:1" s="824" customFormat="1" x14ac:dyDescent="0.25">
      <c r="A2045" s="823"/>
    </row>
    <row r="2046" spans="1:1" s="824" customFormat="1" x14ac:dyDescent="0.25">
      <c r="A2046" s="823"/>
    </row>
    <row r="2047" spans="1:1" s="824" customFormat="1" x14ac:dyDescent="0.25">
      <c r="A2047" s="823"/>
    </row>
    <row r="2048" spans="1:1" s="824" customFormat="1" x14ac:dyDescent="0.25">
      <c r="A2048" s="823"/>
    </row>
    <row r="2049" spans="1:1" s="824" customFormat="1" x14ac:dyDescent="0.25">
      <c r="A2049" s="823"/>
    </row>
    <row r="2050" spans="1:1" s="824" customFormat="1" x14ac:dyDescent="0.25">
      <c r="A2050" s="823"/>
    </row>
    <row r="2051" spans="1:1" s="824" customFormat="1" x14ac:dyDescent="0.25">
      <c r="A2051" s="823"/>
    </row>
    <row r="2052" spans="1:1" s="824" customFormat="1" x14ac:dyDescent="0.25">
      <c r="A2052" s="823"/>
    </row>
    <row r="2053" spans="1:1" s="824" customFormat="1" x14ac:dyDescent="0.25">
      <c r="A2053" s="823"/>
    </row>
    <row r="2054" spans="1:1" s="824" customFormat="1" x14ac:dyDescent="0.25">
      <c r="A2054" s="823"/>
    </row>
    <row r="2055" spans="1:1" s="824" customFormat="1" x14ac:dyDescent="0.25">
      <c r="A2055" s="823"/>
    </row>
    <row r="2056" spans="1:1" s="824" customFormat="1" x14ac:dyDescent="0.25">
      <c r="A2056" s="823"/>
    </row>
    <row r="2057" spans="1:1" s="824" customFormat="1" x14ac:dyDescent="0.25">
      <c r="A2057" s="823"/>
    </row>
    <row r="2058" spans="1:1" s="824" customFormat="1" x14ac:dyDescent="0.25">
      <c r="A2058" s="823"/>
    </row>
    <row r="2059" spans="1:1" s="824" customFormat="1" x14ac:dyDescent="0.25">
      <c r="A2059" s="823"/>
    </row>
    <row r="2060" spans="1:1" s="824" customFormat="1" x14ac:dyDescent="0.25">
      <c r="A2060" s="823"/>
    </row>
    <row r="2061" spans="1:1" s="824" customFormat="1" x14ac:dyDescent="0.25">
      <c r="A2061" s="823"/>
    </row>
    <row r="2062" spans="1:1" s="824" customFormat="1" x14ac:dyDescent="0.25">
      <c r="A2062" s="823"/>
    </row>
    <row r="2063" spans="1:1" s="824" customFormat="1" x14ac:dyDescent="0.25">
      <c r="A2063" s="823"/>
    </row>
    <row r="2064" spans="1:1" s="824" customFormat="1" x14ac:dyDescent="0.25">
      <c r="A2064" s="823"/>
    </row>
    <row r="2065" spans="1:1" s="824" customFormat="1" x14ac:dyDescent="0.25">
      <c r="A2065" s="823"/>
    </row>
    <row r="2066" spans="1:1" s="824" customFormat="1" x14ac:dyDescent="0.25">
      <c r="A2066" s="823"/>
    </row>
    <row r="2067" spans="1:1" s="824" customFormat="1" x14ac:dyDescent="0.25">
      <c r="A2067" s="823"/>
    </row>
    <row r="2068" spans="1:1" s="824" customFormat="1" x14ac:dyDescent="0.25">
      <c r="A2068" s="823"/>
    </row>
    <row r="2069" spans="1:1" s="824" customFormat="1" x14ac:dyDescent="0.25">
      <c r="A2069" s="823"/>
    </row>
    <row r="2070" spans="1:1" s="824" customFormat="1" x14ac:dyDescent="0.25">
      <c r="A2070" s="823"/>
    </row>
    <row r="2071" spans="1:1" s="824" customFormat="1" x14ac:dyDescent="0.25">
      <c r="A2071" s="823"/>
    </row>
    <row r="2072" spans="1:1" s="824" customFormat="1" x14ac:dyDescent="0.25">
      <c r="A2072" s="823"/>
    </row>
    <row r="2073" spans="1:1" s="824" customFormat="1" x14ac:dyDescent="0.25">
      <c r="A2073" s="823"/>
    </row>
    <row r="2074" spans="1:1" s="824" customFormat="1" x14ac:dyDescent="0.25">
      <c r="A2074" s="823"/>
    </row>
    <row r="2075" spans="1:1" s="824" customFormat="1" x14ac:dyDescent="0.25">
      <c r="A2075" s="823"/>
    </row>
    <row r="2076" spans="1:1" s="824" customFormat="1" x14ac:dyDescent="0.25">
      <c r="A2076" s="823"/>
    </row>
    <row r="2077" spans="1:1" s="824" customFormat="1" x14ac:dyDescent="0.25">
      <c r="A2077" s="823"/>
    </row>
    <row r="2078" spans="1:1" s="824" customFormat="1" x14ac:dyDescent="0.25">
      <c r="A2078" s="823"/>
    </row>
    <row r="2079" spans="1:1" s="824" customFormat="1" x14ac:dyDescent="0.25">
      <c r="A2079" s="823"/>
    </row>
    <row r="2080" spans="1:1" s="824" customFormat="1" x14ac:dyDescent="0.25">
      <c r="A2080" s="823"/>
    </row>
    <row r="2081" spans="1:1" s="824" customFormat="1" x14ac:dyDescent="0.25">
      <c r="A2081" s="823"/>
    </row>
    <row r="2082" spans="1:1" s="824" customFormat="1" x14ac:dyDescent="0.25">
      <c r="A2082" s="823"/>
    </row>
    <row r="2083" spans="1:1" s="824" customFormat="1" x14ac:dyDescent="0.25">
      <c r="A2083" s="823"/>
    </row>
    <row r="2084" spans="1:1" s="824" customFormat="1" x14ac:dyDescent="0.25">
      <c r="A2084" s="823"/>
    </row>
    <row r="2085" spans="1:1" s="824" customFormat="1" x14ac:dyDescent="0.25">
      <c r="A2085" s="823"/>
    </row>
    <row r="2086" spans="1:1" s="824" customFormat="1" x14ac:dyDescent="0.25">
      <c r="A2086" s="823"/>
    </row>
    <row r="2087" spans="1:1" s="824" customFormat="1" x14ac:dyDescent="0.25">
      <c r="A2087" s="823"/>
    </row>
    <row r="2088" spans="1:1" s="824" customFormat="1" x14ac:dyDescent="0.25">
      <c r="A2088" s="823"/>
    </row>
    <row r="2089" spans="1:1" s="824" customFormat="1" x14ac:dyDescent="0.25">
      <c r="A2089" s="823"/>
    </row>
    <row r="2090" spans="1:1" s="824" customFormat="1" x14ac:dyDescent="0.25">
      <c r="A2090" s="823"/>
    </row>
    <row r="2091" spans="1:1" s="824" customFormat="1" x14ac:dyDescent="0.25">
      <c r="A2091" s="823"/>
    </row>
    <row r="2092" spans="1:1" s="824" customFormat="1" x14ac:dyDescent="0.25">
      <c r="A2092" s="823"/>
    </row>
    <row r="2093" spans="1:1" s="824" customFormat="1" x14ac:dyDescent="0.25">
      <c r="A2093" s="823"/>
    </row>
    <row r="2094" spans="1:1" s="824" customFormat="1" x14ac:dyDescent="0.25">
      <c r="A2094" s="823"/>
    </row>
    <row r="2095" spans="1:1" s="824" customFormat="1" x14ac:dyDescent="0.25">
      <c r="A2095" s="823"/>
    </row>
    <row r="2096" spans="1:1" s="824" customFormat="1" x14ac:dyDescent="0.25">
      <c r="A2096" s="823"/>
    </row>
    <row r="2097" spans="1:1" s="824" customFormat="1" x14ac:dyDescent="0.25">
      <c r="A2097" s="823"/>
    </row>
    <row r="2098" spans="1:1" s="824" customFormat="1" x14ac:dyDescent="0.25">
      <c r="A2098" s="823"/>
    </row>
    <row r="2099" spans="1:1" s="824" customFormat="1" x14ac:dyDescent="0.25">
      <c r="A2099" s="823"/>
    </row>
    <row r="2100" spans="1:1" s="824" customFormat="1" x14ac:dyDescent="0.25">
      <c r="A2100" s="823"/>
    </row>
    <row r="2101" spans="1:1" s="824" customFormat="1" x14ac:dyDescent="0.25">
      <c r="A2101" s="823"/>
    </row>
    <row r="2102" spans="1:1" s="824" customFormat="1" x14ac:dyDescent="0.25">
      <c r="A2102" s="823"/>
    </row>
  </sheetData>
  <mergeCells count="2">
    <mergeCell ref="B4:D4"/>
    <mergeCell ref="A1:H1"/>
  </mergeCells>
  <pageMargins left="0.23622047244094491" right="0.19685039370078741" top="1.0236220472440944" bottom="0.55118110236220474" header="0.31496062992125984" footer="0.31496062992125984"/>
  <pageSetup paperSize="9" scale="73" orientation="portrait" r:id="rId1"/>
  <headerFooter>
    <oddHeader>&amp;C&amp;"-,Félkövér"
&amp;"Times New Roman,Félkövér"
&amp;R&amp;"Times New Roman,Félkövér"9. melléklet a 28/2016.(VI.24.) önkormányzati rendelethez&amp;"Times New Roman,Dőlt"&amp;10
10. melléklet
a 3/2016.(II.12.)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19</vt:i4>
      </vt:variant>
    </vt:vector>
  </HeadingPairs>
  <TitlesOfParts>
    <vt:vector size="35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int.bevétel</vt:lpstr>
      <vt:lpstr>int.kiadás </vt:lpstr>
      <vt:lpstr>9 konkrét feladat</vt:lpstr>
      <vt:lpstr>10álláshely</vt:lpstr>
      <vt:lpstr>11 ök kiadás</vt:lpstr>
      <vt:lpstr>12 szakfeladatos</vt:lpstr>
      <vt:lpstr>13 fejlesztés</vt:lpstr>
      <vt:lpstr>15 int.felúj</vt:lpstr>
      <vt:lpstr>17 működési és felhalm</vt:lpstr>
      <vt:lpstr>18előirányzat felhasz.</vt:lpstr>
      <vt:lpstr>20projektek</vt:lpstr>
      <vt:lpstr>'1 bevétel (kötelező,önként)'!Nyomtatási_cím</vt:lpstr>
      <vt:lpstr>'10álláshely'!Nyomtatási_cím</vt:lpstr>
      <vt:lpstr>'11 ök kiadás'!Nyomtatási_cím</vt:lpstr>
      <vt:lpstr>'12 szakfeladatos'!Nyomtatási_cím</vt:lpstr>
      <vt:lpstr>'13 fejlesztés'!Nyomtatási_cím</vt:lpstr>
      <vt:lpstr>'15 int.felúj'!Nyomtatási_cím</vt:lpstr>
      <vt:lpstr>'2 kiadás (kötelező, önként)'!Nyomtatási_cím</vt:lpstr>
      <vt:lpstr>'20projektek'!Nyomtatási_cím</vt:lpstr>
      <vt:lpstr>'3 bevétel(szűkített)'!Nyomtatási_cím</vt:lpstr>
      <vt:lpstr>'9 konkrét feladat'!Nyomtatási_cím</vt:lpstr>
      <vt:lpstr>int.bevétel!Nyomtatási_cím</vt:lpstr>
      <vt:lpstr>'int.kiadás '!Nyomtatási_cím</vt:lpstr>
      <vt:lpstr>'1 bevétel (kötelező,önként)'!Nyomtatási_terület</vt:lpstr>
      <vt:lpstr>'11 ök kiadás'!Nyomtatási_terület</vt:lpstr>
      <vt:lpstr>'13 fejlesztés'!Nyomtatási_terület</vt:lpstr>
      <vt:lpstr>'15 int.felúj'!Nyomtatási_terület</vt:lpstr>
      <vt:lpstr>'4 kiadás(szűkített)'!Nyomtatási_terület</vt:lpstr>
      <vt:lpstr>int.bevétel!Nyomtatási_terület</vt:lpstr>
      <vt:lpstr>'int.kiadás 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Windows-felhasználó</cp:lastModifiedBy>
  <cp:lastPrinted>2016-06-24T05:52:12Z</cp:lastPrinted>
  <dcterms:created xsi:type="dcterms:W3CDTF">2003-05-23T09:53:33Z</dcterms:created>
  <dcterms:modified xsi:type="dcterms:W3CDTF">2016-07-12T11:42:38Z</dcterms:modified>
</cp:coreProperties>
</file>