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19440" windowHeight="15600" firstSheet="13" activeTab="20"/>
  </bookViews>
  <sheets>
    <sheet name="Címrend" sheetId="20" r:id="rId1"/>
    <sheet name="2.sz.mell." sheetId="19" r:id="rId2"/>
    <sheet name="3.sz.mell." sheetId="2" r:id="rId3"/>
    <sheet name="4.sz.mell." sheetId="3" r:id="rId4"/>
    <sheet name="5.a sz.mell." sheetId="23" r:id="rId5"/>
    <sheet name="5 b.sz.mell." sheetId="24" r:id="rId6"/>
    <sheet name="6.sz.mell." sheetId="18" r:id="rId7"/>
    <sheet name="7.sz.mell." sheetId="5" r:id="rId8"/>
    <sheet name="8.sz.mell." sheetId="6" r:id="rId9"/>
    <sheet name="9.sz.mell." sheetId="7" r:id="rId10"/>
    <sheet name="10.sz.mell." sheetId="8" r:id="rId11"/>
    <sheet name="11.sz.mell." sheetId="10" r:id="rId12"/>
    <sheet name="12.sz.mell." sheetId="12" r:id="rId13"/>
    <sheet name="13.sz.mell" sheetId="11" r:id="rId14"/>
    <sheet name="14.sz.mell." sheetId="13" r:id="rId15"/>
    <sheet name="15. sz.mell." sheetId="14" r:id="rId16"/>
    <sheet name="16.sz.mell." sheetId="15" r:id="rId17"/>
    <sheet name="17.sz.m" sheetId="16" r:id="rId18"/>
    <sheet name="18.sz.m." sheetId="17" r:id="rId19"/>
    <sheet name="19.sz.m." sheetId="21" r:id="rId20"/>
    <sheet name="20.sz.mell" sheetId="22" r:id="rId21"/>
  </sheets>
  <definedNames>
    <definedName name="_xlnm.Print_Titles" localSheetId="1">'2.sz.mell.'!$1:$1</definedName>
    <definedName name="_xlnm.Print_Titles" localSheetId="2">'3.sz.mell.'!$1:$1</definedName>
    <definedName name="_xlnm.Print_Area" localSheetId="11">'11.sz.mell.'!$A$1:$M$9</definedName>
    <definedName name="_xlnm.Print_Area" localSheetId="12">'12.sz.mell.'!$A$1:$C$16</definedName>
    <definedName name="_xlnm.Print_Area" localSheetId="14">'14.sz.mell.'!$A$1:$F$56</definedName>
    <definedName name="_xlnm.Print_Area" localSheetId="15">'15. sz.mell.'!$A$1:$N$25</definedName>
    <definedName name="_xlnm.Print_Area" localSheetId="16">'16.sz.mell.'!$A$1:$E$29</definedName>
    <definedName name="_xlnm.Print_Area" localSheetId="17">'17.sz.m'!$A$1:$D$41</definedName>
    <definedName name="_xlnm.Print_Area" localSheetId="18">'18.sz.m.'!$A$1:$G$35</definedName>
    <definedName name="_xlnm.Print_Area" localSheetId="19">'19.sz.m.'!$A$1:$F$28</definedName>
    <definedName name="_xlnm.Print_Area" localSheetId="1">'2.sz.mell.'!$A$1:$C$94</definedName>
    <definedName name="_xlnm.Print_Area" localSheetId="20">'20.sz.mell'!$A$1:$H$27</definedName>
    <definedName name="_xlnm.Print_Area" localSheetId="2">'3.sz.mell.'!$A$1:$E$47</definedName>
    <definedName name="_xlnm.Print_Area" localSheetId="3">'4.sz.mell.'!$A$1:$L$26</definedName>
    <definedName name="_xlnm.Print_Area" localSheetId="5">'5 b.sz.mell.'!$A$1:$J$61</definedName>
    <definedName name="_xlnm.Print_Area" localSheetId="4">'5.a sz.mell.'!$A$1:$O$63</definedName>
    <definedName name="_xlnm.Print_Area" localSheetId="6">'6.sz.mell.'!$A$1:$D$49</definedName>
    <definedName name="_xlnm.Print_Area" localSheetId="7">'7.sz.mell.'!$A$1:$C$19</definedName>
    <definedName name="_xlnm.Print_Area" localSheetId="8">'8.sz.mell.'!$A$1:$D$33</definedName>
    <definedName name="_xlnm.Print_Area" localSheetId="9">'9.sz.mell.'!$A$1:$G$27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0" i="16"/>
  <c r="C11" s="1"/>
  <c r="C26" i="22"/>
  <c r="E27" i="21"/>
  <c r="D27"/>
  <c r="C27"/>
  <c r="C18" i="14" l="1"/>
  <c r="M16"/>
  <c r="M15"/>
  <c r="M14"/>
  <c r="C11"/>
  <c r="M8"/>
  <c r="M7"/>
  <c r="M6"/>
  <c r="D10" i="13"/>
  <c r="E12"/>
  <c r="E10"/>
  <c r="D12"/>
  <c r="B13"/>
  <c r="B10"/>
  <c r="B12"/>
  <c r="C55"/>
  <c r="B6" i="11"/>
  <c r="I20"/>
  <c r="I19"/>
  <c r="M8" i="10"/>
  <c r="L8"/>
  <c r="J8"/>
  <c r="H8"/>
  <c r="K9"/>
  <c r="M9"/>
  <c r="L9"/>
  <c r="H9"/>
  <c r="F9"/>
  <c r="F8"/>
  <c r="C14" i="12" l="1"/>
  <c r="C13"/>
  <c r="C18"/>
  <c r="C12"/>
  <c r="C11"/>
  <c r="C10"/>
  <c r="C9"/>
  <c r="F13" i="7"/>
  <c r="D34" i="6"/>
  <c r="D24"/>
  <c r="D23"/>
  <c r="D22"/>
  <c r="D21"/>
  <c r="D20"/>
  <c r="D19"/>
  <c r="D15"/>
  <c r="D13"/>
  <c r="D12"/>
  <c r="D33" i="18"/>
  <c r="D45"/>
  <c r="K27" i="3"/>
  <c r="G13" i="2"/>
  <c r="C45"/>
  <c r="C34"/>
  <c r="C41" s="1"/>
  <c r="C46" s="1"/>
  <c r="C20"/>
  <c r="C24" s="1"/>
  <c r="C25" s="1"/>
  <c r="C16"/>
  <c r="C11"/>
  <c r="C10"/>
  <c r="C45" i="19"/>
  <c r="C47"/>
  <c r="C53"/>
  <c r="C50"/>
  <c r="C34"/>
  <c r="C29"/>
  <c r="D39" i="24"/>
  <c r="E42" i="23"/>
  <c r="D44"/>
  <c r="D43"/>
  <c r="D42"/>
  <c r="H51" i="24"/>
  <c r="D59"/>
  <c r="D56"/>
  <c r="D55"/>
  <c r="D58"/>
  <c r="L54" i="23"/>
  <c r="L56"/>
  <c r="F57"/>
  <c r="F61"/>
  <c r="F60"/>
  <c r="F59"/>
  <c r="F56"/>
  <c r="F58"/>
  <c r="F55"/>
  <c r="F54"/>
  <c r="E56"/>
  <c r="D58"/>
  <c r="D61"/>
  <c r="D56"/>
  <c r="D55"/>
  <c r="D54"/>
  <c r="F48" l="1"/>
  <c r="F47"/>
  <c r="F46"/>
  <c r="D48"/>
  <c r="F52"/>
  <c r="F51"/>
  <c r="P41" l="1"/>
  <c r="F8"/>
  <c r="D18" i="24"/>
  <c r="D16"/>
  <c r="D8"/>
  <c r="D21"/>
  <c r="C15" i="19"/>
  <c r="D14" s="1"/>
  <c r="L31" i="23"/>
  <c r="I37" i="24"/>
  <c r="F26" i="23"/>
  <c r="D26"/>
  <c r="F39"/>
  <c r="D39"/>
  <c r="L38"/>
  <c r="F38"/>
  <c r="D38"/>
  <c r="F29"/>
  <c r="F23"/>
  <c r="D23"/>
  <c r="F22"/>
  <c r="D22"/>
  <c r="F33"/>
  <c r="F21"/>
  <c r="F20"/>
  <c r="D20"/>
  <c r="F19"/>
  <c r="F18"/>
  <c r="F17"/>
  <c r="J17" i="24"/>
  <c r="J16"/>
  <c r="D32" i="23"/>
  <c r="N16"/>
  <c r="N15"/>
  <c r="M16"/>
  <c r="L16"/>
  <c r="F16"/>
  <c r="M13"/>
  <c r="F13"/>
  <c r="G25"/>
  <c r="M8"/>
  <c r="F7"/>
  <c r="F6"/>
  <c r="D38" i="24" l="1"/>
  <c r="G26" i="22"/>
  <c r="F26"/>
  <c r="E26"/>
  <c r="D26"/>
  <c r="G14"/>
  <c r="F14"/>
  <c r="E14"/>
  <c r="D14"/>
  <c r="C14"/>
  <c r="C12"/>
  <c r="C10"/>
  <c r="F13" i="17"/>
  <c r="F12"/>
  <c r="C8" i="16"/>
  <c r="C9" s="1"/>
  <c r="C25"/>
  <c r="C18"/>
  <c r="N20" i="14"/>
  <c r="D11" i="13"/>
  <c r="C10"/>
  <c r="C11" s="1"/>
  <c r="B11"/>
  <c r="C12"/>
  <c r="J20" i="11"/>
  <c r="B19"/>
  <c r="J18"/>
  <c r="J17"/>
  <c r="J16"/>
  <c r="M9"/>
  <c r="H19"/>
  <c r="C15" i="12"/>
  <c r="I9" i="10"/>
  <c r="I8"/>
  <c r="G9"/>
  <c r="G8"/>
  <c r="G7" i="8"/>
  <c r="F17" i="7"/>
  <c r="F15"/>
  <c r="F16" s="1"/>
  <c r="F12"/>
  <c r="F11"/>
  <c r="F10"/>
  <c r="F9"/>
  <c r="F8"/>
  <c r="F14" s="1"/>
  <c r="D11" i="6"/>
  <c r="D13" i="13" l="1"/>
  <c r="E23" i="22" s="1"/>
  <c r="C23"/>
  <c r="F10" i="13"/>
  <c r="J19" i="11"/>
  <c r="F12" i="13"/>
  <c r="E11"/>
  <c r="F11" s="1"/>
  <c r="E13" l="1"/>
  <c r="F23" i="22" s="1"/>
  <c r="K8" i="10"/>
  <c r="C16" i="5"/>
  <c r="C14"/>
  <c r="C13"/>
  <c r="C9"/>
  <c r="B14"/>
  <c r="B13"/>
  <c r="B10"/>
  <c r="B9"/>
  <c r="D44" i="18"/>
  <c r="D22"/>
  <c r="D21"/>
  <c r="D20"/>
  <c r="D19"/>
  <c r="D18"/>
  <c r="D17"/>
  <c r="D16"/>
  <c r="D15"/>
  <c r="D13"/>
  <c r="D14" l="1"/>
  <c r="C80" i="19"/>
  <c r="C35"/>
  <c r="D47" i="18" l="1"/>
  <c r="E43" i="24" l="1"/>
  <c r="F43"/>
  <c r="G43"/>
  <c r="H43"/>
  <c r="I43"/>
  <c r="D8" i="3" s="1"/>
  <c r="D43" i="24"/>
  <c r="C59" i="19" l="1"/>
  <c r="E40" i="23"/>
  <c r="G40"/>
  <c r="H40"/>
  <c r="I40"/>
  <c r="J40"/>
  <c r="K40"/>
  <c r="L40"/>
  <c r="M40"/>
  <c r="D40"/>
  <c r="D41" s="1"/>
  <c r="N11"/>
  <c r="C62" i="19" l="1"/>
  <c r="C10" i="5"/>
  <c r="C15" s="1"/>
  <c r="F45" i="23"/>
  <c r="G45"/>
  <c r="H45"/>
  <c r="I45"/>
  <c r="J45"/>
  <c r="K45"/>
  <c r="L45"/>
  <c r="M45"/>
  <c r="E45"/>
  <c r="D45"/>
  <c r="N43"/>
  <c r="N44"/>
  <c r="O62"/>
  <c r="M62"/>
  <c r="L62"/>
  <c r="K62"/>
  <c r="J62"/>
  <c r="I62"/>
  <c r="H62"/>
  <c r="G62"/>
  <c r="F62"/>
  <c r="N61"/>
  <c r="N60"/>
  <c r="N59"/>
  <c r="N58"/>
  <c r="N57"/>
  <c r="N56"/>
  <c r="E62"/>
  <c r="D62"/>
  <c r="N54"/>
  <c r="M53"/>
  <c r="L53"/>
  <c r="K53"/>
  <c r="J53"/>
  <c r="I53"/>
  <c r="H53"/>
  <c r="G53"/>
  <c r="E53"/>
  <c r="D23" i="3" s="1"/>
  <c r="D53" i="23"/>
  <c r="N52"/>
  <c r="N51"/>
  <c r="M50"/>
  <c r="L50"/>
  <c r="K50"/>
  <c r="J50"/>
  <c r="I50"/>
  <c r="H50"/>
  <c r="G50"/>
  <c r="E50"/>
  <c r="D50"/>
  <c r="N49"/>
  <c r="N48"/>
  <c r="N47"/>
  <c r="N39"/>
  <c r="F40"/>
  <c r="N37"/>
  <c r="N36"/>
  <c r="N35"/>
  <c r="N34"/>
  <c r="N33"/>
  <c r="N30"/>
  <c r="N29"/>
  <c r="H28"/>
  <c r="N28" s="1"/>
  <c r="N27"/>
  <c r="N26"/>
  <c r="N25"/>
  <c r="N24"/>
  <c r="N23"/>
  <c r="N22"/>
  <c r="N20"/>
  <c r="N19"/>
  <c r="N18"/>
  <c r="N17"/>
  <c r="N14"/>
  <c r="N13"/>
  <c r="O12"/>
  <c r="N12"/>
  <c r="N10"/>
  <c r="N9"/>
  <c r="N7"/>
  <c r="N6"/>
  <c r="N38" l="1"/>
  <c r="N40" s="1"/>
  <c r="N55"/>
  <c r="N62" s="1"/>
  <c r="N42"/>
  <c r="N45" s="1"/>
  <c r="O32"/>
  <c r="O41" s="1"/>
  <c r="O63" s="1"/>
  <c r="G10" i="8"/>
  <c r="G14" s="1"/>
  <c r="N53" i="23"/>
  <c r="F53"/>
  <c r="N8"/>
  <c r="N21"/>
  <c r="N46" l="1"/>
  <c r="N50" s="1"/>
  <c r="F50"/>
  <c r="D16" i="2" l="1"/>
  <c r="D24"/>
  <c r="D25" l="1"/>
  <c r="E20" i="21"/>
  <c r="D20"/>
  <c r="C20"/>
  <c r="B21" l="1"/>
  <c r="D28"/>
  <c r="E28"/>
  <c r="C28"/>
  <c r="C16"/>
  <c r="D16"/>
  <c r="E16"/>
  <c r="D24" i="15"/>
  <c r="D56" i="13"/>
  <c r="C56"/>
  <c r="E19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E43"/>
  <c r="E44"/>
  <c r="E45"/>
  <c r="E46"/>
  <c r="E47"/>
  <c r="E48"/>
  <c r="E49"/>
  <c r="E50"/>
  <c r="E51"/>
  <c r="E52"/>
  <c r="E53"/>
  <c r="E54"/>
  <c r="E55"/>
  <c r="E20"/>
  <c r="C13"/>
  <c r="D23" i="22" s="1"/>
  <c r="F12" i="3"/>
  <c r="E36" i="2"/>
  <c r="F13" i="13" l="1"/>
  <c r="E56"/>
  <c r="C55" i="19"/>
  <c r="C43"/>
  <c r="I24" i="3" l="1"/>
  <c r="I23"/>
  <c r="I22"/>
  <c r="I21"/>
  <c r="N9" i="14" l="1"/>
  <c r="F25" i="7"/>
  <c r="F24"/>
  <c r="F23"/>
  <c r="F22"/>
  <c r="F21"/>
  <c r="F19"/>
  <c r="F18"/>
  <c r="C17" i="5"/>
  <c r="D48" i="18"/>
  <c r="D46"/>
  <c r="D32"/>
  <c r="D23"/>
  <c r="C25" i="19"/>
  <c r="D51" i="18" s="1"/>
  <c r="C57" i="19"/>
  <c r="B12" i="21" s="1"/>
  <c r="B10"/>
  <c r="D60" i="24"/>
  <c r="C11" i="3" s="1"/>
  <c r="E60" i="24"/>
  <c r="E11" i="3" s="1"/>
  <c r="F60" i="24"/>
  <c r="G60"/>
  <c r="I60"/>
  <c r="D11" i="3" s="1"/>
  <c r="D50" i="24"/>
  <c r="C10" i="3" s="1"/>
  <c r="E50" i="24"/>
  <c r="E10" i="3" s="1"/>
  <c r="F50" i="24"/>
  <c r="G50"/>
  <c r="H10" i="3" s="1"/>
  <c r="I50" i="24"/>
  <c r="D10" i="3" s="1"/>
  <c r="D46" i="24"/>
  <c r="C9" i="3" s="1"/>
  <c r="E46" i="24"/>
  <c r="E9" i="3" s="1"/>
  <c r="F46" i="24"/>
  <c r="G46"/>
  <c r="H9" i="3" s="1"/>
  <c r="I46" i="24"/>
  <c r="D9" i="3" s="1"/>
  <c r="C8"/>
  <c r="E8"/>
  <c r="H8"/>
  <c r="F38" i="24"/>
  <c r="G38"/>
  <c r="H7" i="3" s="1"/>
  <c r="H38" i="24"/>
  <c r="G7" i="3" s="1"/>
  <c r="I38" i="24"/>
  <c r="D7" i="3" s="1"/>
  <c r="C23"/>
  <c r="E23"/>
  <c r="H50" i="24"/>
  <c r="G10" i="3" s="1"/>
  <c r="H60" i="24"/>
  <c r="G11" i="3" s="1"/>
  <c r="H46" i="24"/>
  <c r="G9" i="3" s="1"/>
  <c r="H11" l="1"/>
  <c r="C63" i="19"/>
  <c r="E13" i="2" s="1"/>
  <c r="D49" i="18"/>
  <c r="D52" s="1"/>
  <c r="B8" i="21"/>
  <c r="E36" i="24"/>
  <c r="J47"/>
  <c r="F61"/>
  <c r="O9" i="14" s="1"/>
  <c r="G61" i="24"/>
  <c r="H15" i="3" s="1"/>
  <c r="I61" i="24"/>
  <c r="H61"/>
  <c r="G20" i="3" s="1"/>
  <c r="I10"/>
  <c r="K23"/>
  <c r="I11"/>
  <c r="I9"/>
  <c r="E10" i="2"/>
  <c r="E9"/>
  <c r="G8" i="3"/>
  <c r="I8" s="1"/>
  <c r="D61" i="24"/>
  <c r="C7" i="3"/>
  <c r="C18" i="5"/>
  <c r="D7" i="6"/>
  <c r="D32" s="1"/>
  <c r="F26" i="7"/>
  <c r="F27" s="1"/>
  <c r="C33" i="19"/>
  <c r="C32"/>
  <c r="C31"/>
  <c r="C30"/>
  <c r="C28"/>
  <c r="C27"/>
  <c r="C26"/>
  <c r="J53" i="24"/>
  <c r="J54"/>
  <c r="J55"/>
  <c r="J56"/>
  <c r="J57"/>
  <c r="J58"/>
  <c r="J59"/>
  <c r="J52"/>
  <c r="J51"/>
  <c r="J48"/>
  <c r="J49"/>
  <c r="J45"/>
  <c r="J44"/>
  <c r="J40"/>
  <c r="J41"/>
  <c r="J42"/>
  <c r="J39"/>
  <c r="J7"/>
  <c r="J8"/>
  <c r="J9"/>
  <c r="J10"/>
  <c r="J11"/>
  <c r="J12"/>
  <c r="J13"/>
  <c r="J14"/>
  <c r="J15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7"/>
  <c r="P9" i="14" l="1"/>
  <c r="Q9"/>
  <c r="C15" i="3"/>
  <c r="D55" i="19"/>
  <c r="G27" i="3"/>
  <c r="G15"/>
  <c r="D43" i="19"/>
  <c r="D15" i="3"/>
  <c r="C36" i="19"/>
  <c r="J36" i="24"/>
  <c r="E12" i="2"/>
  <c r="J43" i="24"/>
  <c r="J50"/>
  <c r="E15" i="5"/>
  <c r="D62" i="19"/>
  <c r="E62" s="1"/>
  <c r="L14" i="3"/>
  <c r="J60" i="24"/>
  <c r="D14" i="3"/>
  <c r="O8" i="14"/>
  <c r="Q8" s="1"/>
  <c r="O7"/>
  <c r="Q7" s="1"/>
  <c r="F14" i="3"/>
  <c r="O11" i="14"/>
  <c r="Q11" s="1"/>
  <c r="N14" i="3"/>
  <c r="B11" i="21"/>
  <c r="E8" i="2"/>
  <c r="E20"/>
  <c r="B14" i="21"/>
  <c r="D63" i="19"/>
  <c r="J46" i="24"/>
  <c r="B9" i="21" l="1"/>
  <c r="E11" i="2"/>
  <c r="B23" i="14" l="1"/>
  <c r="C23"/>
  <c r="D23"/>
  <c r="E23"/>
  <c r="H23"/>
  <c r="I23"/>
  <c r="J23"/>
  <c r="K23"/>
  <c r="L23"/>
  <c r="N22" l="1"/>
  <c r="G23"/>
  <c r="F23"/>
  <c r="N18"/>
  <c r="M23"/>
  <c r="N15"/>
  <c r="N16"/>
  <c r="N19"/>
  <c r="N21"/>
  <c r="N14"/>
  <c r="B12"/>
  <c r="B24" s="1"/>
  <c r="C12"/>
  <c r="C24" s="1"/>
  <c r="D12"/>
  <c r="D24" s="1"/>
  <c r="E12"/>
  <c r="E24" s="1"/>
  <c r="F12"/>
  <c r="G12"/>
  <c r="H12"/>
  <c r="H24" s="1"/>
  <c r="I12"/>
  <c r="I24" s="1"/>
  <c r="K12"/>
  <c r="K24" s="1"/>
  <c r="L12"/>
  <c r="L24" s="1"/>
  <c r="M12"/>
  <c r="N10"/>
  <c r="P10" s="1"/>
  <c r="J12"/>
  <c r="J24" s="1"/>
  <c r="N7"/>
  <c r="P7" s="1"/>
  <c r="N8"/>
  <c r="P8" s="1"/>
  <c r="N6"/>
  <c r="D29" i="15"/>
  <c r="M24" i="14" l="1"/>
  <c r="N23"/>
  <c r="G24"/>
  <c r="N11"/>
  <c r="P11" s="1"/>
  <c r="N17"/>
  <c r="F24"/>
  <c r="N12"/>
  <c r="H12" i="3"/>
  <c r="E16" i="2"/>
  <c r="E39"/>
  <c r="L23" i="3"/>
  <c r="G25"/>
  <c r="N24" i="14" l="1"/>
  <c r="J8" i="3"/>
  <c r="J9"/>
  <c r="J10"/>
  <c r="J11"/>
  <c r="C12"/>
  <c r="D12"/>
  <c r="G12"/>
  <c r="E24" i="2"/>
  <c r="C20" i="5" s="1"/>
  <c r="C64" i="19"/>
  <c r="D21" i="3"/>
  <c r="C21"/>
  <c r="E21"/>
  <c r="F21"/>
  <c r="C24"/>
  <c r="D24"/>
  <c r="E24"/>
  <c r="C22"/>
  <c r="D22"/>
  <c r="E22"/>
  <c r="F22"/>
  <c r="K24" l="1"/>
  <c r="L24" s="1"/>
  <c r="K22"/>
  <c r="L22" s="1"/>
  <c r="K21"/>
  <c r="L21" s="1"/>
  <c r="C65" i="19"/>
  <c r="B15" i="21"/>
  <c r="B16" s="1"/>
  <c r="D57" i="19"/>
  <c r="E25" i="2"/>
  <c r="C20" i="16" l="1"/>
  <c r="D41" i="2"/>
  <c r="F22" i="17"/>
  <c r="E9" i="10"/>
  <c r="E8"/>
  <c r="D27" i="22"/>
  <c r="E27"/>
  <c r="F27"/>
  <c r="G27"/>
  <c r="C27"/>
  <c r="D16"/>
  <c r="E16"/>
  <c r="F16"/>
  <c r="G16"/>
  <c r="C16"/>
  <c r="D45" i="2"/>
  <c r="F16" i="17"/>
  <c r="F18" s="1"/>
  <c r="C12" i="16"/>
  <c r="C39" s="1"/>
  <c r="G19" i="11"/>
  <c r="F19"/>
  <c r="E19"/>
  <c r="D19"/>
  <c r="C19"/>
  <c r="L9"/>
  <c r="K9"/>
  <c r="J9"/>
  <c r="I9"/>
  <c r="H9"/>
  <c r="G9"/>
  <c r="F9"/>
  <c r="E9"/>
  <c r="D9"/>
  <c r="C9"/>
  <c r="B9"/>
  <c r="D46" i="2" l="1"/>
  <c r="N31" i="23"/>
  <c r="N32" l="1"/>
  <c r="N41" s="1"/>
  <c r="C20" i="3"/>
  <c r="C25" s="1"/>
  <c r="N63" i="23" l="1"/>
  <c r="O23" i="14" s="1"/>
  <c r="P23" s="1"/>
  <c r="P42" i="23"/>
  <c r="D63"/>
  <c r="C27" i="3" s="1"/>
  <c r="D89" i="19" l="1"/>
  <c r="E31" i="2"/>
  <c r="O14" i="14"/>
  <c r="C72" i="19"/>
  <c r="B18" i="21" s="1"/>
  <c r="E32" i="23"/>
  <c r="E41" s="1"/>
  <c r="E63" s="1"/>
  <c r="P14" i="14" l="1"/>
  <c r="Q14"/>
  <c r="D20" i="3"/>
  <c r="D25" s="1"/>
  <c r="C73" i="19"/>
  <c r="E32" i="2"/>
  <c r="D27" i="3"/>
  <c r="O15" i="14"/>
  <c r="P15" l="1"/>
  <c r="Q15"/>
  <c r="B19" i="21"/>
  <c r="F32" i="23"/>
  <c r="F41" s="1"/>
  <c r="E20" i="3" l="1"/>
  <c r="E25" s="1"/>
  <c r="F63" i="23"/>
  <c r="E27" i="3" l="1"/>
  <c r="O16" i="14"/>
  <c r="E33" i="2"/>
  <c r="C74" i="19"/>
  <c r="P16" i="14" l="1"/>
  <c r="Q16"/>
  <c r="B20" i="21"/>
  <c r="G32" i="23"/>
  <c r="G41" s="1"/>
  <c r="G63" l="1"/>
  <c r="D79" i="19" s="1"/>
  <c r="C79" s="1"/>
  <c r="F20" i="3"/>
  <c r="F25" s="1"/>
  <c r="E34" i="2" l="1"/>
  <c r="B23" i="21"/>
  <c r="F24" i="15"/>
  <c r="G25" s="1"/>
  <c r="O18" i="14"/>
  <c r="P18" s="1"/>
  <c r="F27" i="3"/>
  <c r="H32" i="23"/>
  <c r="H41" s="1"/>
  <c r="H63" s="1"/>
  <c r="Q18" i="14" l="1"/>
  <c r="H20" i="3"/>
  <c r="H25" s="1"/>
  <c r="O17" i="14"/>
  <c r="C75" i="19"/>
  <c r="H27" i="3"/>
  <c r="E35" i="2"/>
  <c r="Q17" i="14" l="1"/>
  <c r="P17"/>
  <c r="B22" i="21"/>
  <c r="I32" i="23"/>
  <c r="I41" s="1"/>
  <c r="I63" s="1"/>
  <c r="O21" i="14" l="1"/>
  <c r="P21" s="1"/>
  <c r="C83" i="19"/>
  <c r="C8" i="12" s="1"/>
  <c r="C16" s="1"/>
  <c r="B26" i="21" l="1"/>
  <c r="C84" i="19"/>
  <c r="E40" i="2"/>
  <c r="J32" i="23"/>
  <c r="J41" s="1"/>
  <c r="J63" s="1"/>
  <c r="O19" i="14" l="1"/>
  <c r="P19" s="1"/>
  <c r="J27" i="3"/>
  <c r="E37" i="2"/>
  <c r="C77" i="19"/>
  <c r="J20" i="3"/>
  <c r="K20" l="1"/>
  <c r="B24" i="21"/>
  <c r="J25" i="3"/>
  <c r="K32" i="23"/>
  <c r="O20" i="14" s="1"/>
  <c r="P20" s="1"/>
  <c r="Q20" s="1"/>
  <c r="K41" i="23"/>
  <c r="I20" i="3" s="1"/>
  <c r="I25" l="1"/>
  <c r="K25" s="1"/>
  <c r="L20"/>
  <c r="K63" i="23"/>
  <c r="L25" i="3" l="1"/>
  <c r="I27"/>
  <c r="C78" i="19"/>
  <c r="E38" i="2" l="1"/>
  <c r="E41" s="1"/>
  <c r="B25" i="21"/>
  <c r="C81" i="19"/>
  <c r="L32" i="23"/>
  <c r="L41" s="1"/>
  <c r="L63" s="1"/>
  <c r="C85" i="19" l="1"/>
  <c r="E43" i="2"/>
  <c r="D36" i="6"/>
  <c r="M32" i="23"/>
  <c r="M41" s="1"/>
  <c r="M63" s="1"/>
  <c r="L27" i="3" l="1"/>
  <c r="E42" i="2"/>
  <c r="E45" s="1"/>
  <c r="E46" s="1"/>
  <c r="O22" i="14"/>
  <c r="P22" s="1"/>
  <c r="C86" i="19"/>
  <c r="C88" s="1"/>
  <c r="E34" i="6" l="1"/>
  <c r="E36" s="1"/>
  <c r="C89" i="19"/>
  <c r="C91" s="1"/>
  <c r="B27" i="21"/>
  <c r="B28" s="1"/>
  <c r="E38" i="24"/>
  <c r="J6"/>
  <c r="J38" s="1"/>
  <c r="J61" l="1"/>
  <c r="K39"/>
  <c r="E61"/>
  <c r="E15" i="3" s="1"/>
  <c r="E7"/>
  <c r="I15" l="1"/>
  <c r="J63" i="24"/>
  <c r="J65" s="1"/>
  <c r="R14" i="3"/>
  <c r="D65" i="19"/>
  <c r="C66" s="1"/>
  <c r="O12" i="14"/>
  <c r="P12" s="1"/>
  <c r="P14" i="3"/>
  <c r="E12"/>
  <c r="I7"/>
  <c r="I12" s="1"/>
  <c r="O6" i="14"/>
  <c r="D36" i="19"/>
  <c r="H14" i="3"/>
  <c r="J15" l="1"/>
  <c r="P6" i="14"/>
  <c r="Q6"/>
  <c r="J7" i="3"/>
  <c r="J12" s="1"/>
</calcChain>
</file>

<file path=xl/comments1.xml><?xml version="1.0" encoding="utf-8"?>
<comments xmlns="http://schemas.openxmlformats.org/spreadsheetml/2006/main">
  <authors>
    <author>Pénzügy01</author>
    <author>Kadarkút PM. Hivatal</author>
  </authors>
  <commentList>
    <comment ref="F8" authorId="0">
      <text>
        <r>
          <rPr>
            <b/>
            <sz val="9"/>
            <color indexed="81"/>
            <rFont val="Tahoma"/>
            <charset val="1"/>
          </rPr>
          <t>Pénzügy01:</t>
        </r>
        <r>
          <rPr>
            <sz val="9"/>
            <color indexed="81"/>
            <rFont val="Tahoma"/>
            <charset val="1"/>
          </rPr>
          <t xml:space="preserve">
EV mérés anyag 400 e
REKi tanker 6.054.803+1634797 áfa 
EV mérés díja 550 e + jav 400 e + 300 e áfa 
</t>
        </r>
      </text>
    </comment>
    <comment ref="I8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önk bérlakás 8.266.429
letéti 78.000
</t>
        </r>
      </text>
    </comment>
    <comment ref="L8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2.400.000 Ft körmeni utca
1.000.000 Ft ipari park
</t>
        </r>
      </text>
    </comment>
    <comment ref="M8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műv ház álmennyezet
</t>
        </r>
      </text>
    </comment>
    <comment ref="M13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körmendi u. padka Radák 1.520.000 + 410.400 áfa
pipacs u. járda 4.500.000 tám + 1.215.000 Ft áfa önerő
</t>
        </r>
      </text>
    </comment>
    <comment ref="I15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VKT
 díj számla
céltartalék
</t>
        </r>
      </text>
    </comment>
    <comment ref="M15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Ady E. u árok 12.000.000 + 3.240.000 áfa
</t>
        </r>
      </text>
    </comment>
    <comment ref="D16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Kaposi Máté magyar falu
</t>
        </r>
      </text>
    </comment>
    <comment ref="F16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Művház magyar falu
</t>
        </r>
      </text>
    </comment>
    <comment ref="L16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Magyar Falu orvosi eszköz
</t>
        </r>
      </text>
    </comment>
    <comment ref="M16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Pipacs u. járda 4.999.736 támogatás + 1.350.000 Ft önerő 
Művház magyar falu 11.811.022. + 3.188.976
Magyar falu temető 66.869 + 18055 áfa
</t>
        </r>
      </text>
    </comment>
    <comment ref="I17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koncessziós díj szla
</t>
        </r>
      </text>
    </comment>
    <comment ref="I19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környezetvédelmi alap szla
</t>
        </r>
      </text>
    </comment>
    <comment ref="L23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focipálya kerítés
</t>
        </r>
      </text>
    </comment>
    <comment ref="G25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1.080.098 minibölcsi visszafizetés
116.450 fogászati ügyelet
siketek 10.000, 
vakok 20.000, 
TÖOSZ 64250,
polgárőrök 200.000,
 kisosz 20.000, 
Zselici lámpások 180.000,
légimentők 20.000, 
Sportkör támogatás 3 M, 
Tűzoltóság 3 M
alapítvány létrehozása 1 M</t>
        </r>
      </text>
    </comment>
    <comment ref="M26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150.000 bejárati ajtó</t>
        </r>
      </text>
    </comment>
    <comment ref="I27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céltartalék szoc bérlakás számla
</t>
        </r>
      </text>
    </comment>
    <comment ref="L29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közművelődési érdek növelő
2019. évi 1.835.000 + 1.100.000 önerő
2020. évi 700.000 önerő
</t>
        </r>
      </text>
    </comment>
    <comment ref="A42" authorId="1">
      <text>
        <r>
          <rPr>
            <b/>
            <sz val="8"/>
            <color indexed="81"/>
            <rFont val="Tahoma"/>
            <family val="2"/>
            <charset val="238"/>
          </rPr>
          <t>Kadarkút PM. Hivatal: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Pénzügy01</author>
    <author>Kadarkút PM. Hivatal</author>
  </authors>
  <commentList>
    <comment ref="E6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REKI
</t>
        </r>
      </text>
    </comment>
    <comment ref="G8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bérlakás számla maradvány
8.266.429
letéti számla-óvadék
78.000
SZASZK REKI 4.000.000
</t>
        </r>
      </text>
    </comment>
    <comment ref="G11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közfogi számla maradvány
</t>
        </r>
      </text>
    </comment>
    <comment ref="G12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"közfogi" maradvány
</t>
        </r>
      </text>
    </comment>
    <comment ref="G16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VKT </t>
        </r>
        <r>
          <rPr>
            <sz val="9"/>
            <color indexed="81"/>
            <rFont val="Tahoma"/>
            <family val="2"/>
            <charset val="238"/>
          </rPr>
          <t xml:space="preserve">számla maradványa
</t>
        </r>
      </text>
    </comment>
    <comment ref="G17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Magyar falu
* járda 4.999.736
* temető 84.924
* orvosi eszköz 2.999.999
* művház felőjítás 14.999.998
* művház műk 4.909.997
művház bér 2.108.925
</t>
        </r>
      </text>
    </comment>
    <comment ref="G18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koncessziós számla 
maradvány
</t>
        </r>
      </text>
    </comment>
    <comment ref="G20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környezetvdelmi alap
</t>
        </r>
      </text>
    </comment>
    <comment ref="G21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4.279.265 szoc tüzifa
8.481.000 garantált bérkieg
5.306.100 közfogi bértám
22.307.818 költségvetési szla egyenleg
335.840 pénztár
10.751.039 2020 megelőlegezés
4.498.478 nettó fin
478.455 tb , cst támog
</t>
        </r>
      </text>
    </comment>
    <comment ref="F27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3-9-2 efop: 3.275.011
1-5-3 efop: 1.821.018
</t>
        </r>
      </text>
    </comment>
    <comment ref="G30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szoc bérlal szla maradvány
</t>
        </r>
      </text>
    </comment>
    <comment ref="G35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közművelődési érdekeltség növeő 2019
 évi
</t>
        </r>
      </text>
    </comment>
    <comment ref="A39" authorId="1">
      <text>
        <r>
          <rPr>
            <b/>
            <sz val="8"/>
            <color indexed="81"/>
            <rFont val="Tahoma"/>
            <family val="2"/>
            <charset val="238"/>
          </rPr>
          <t>Kadarkút PM. Hivatal: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<sst xmlns="http://schemas.openxmlformats.org/spreadsheetml/2006/main" count="924" uniqueCount="620">
  <si>
    <t xml:space="preserve">Bevételi előirányzatok </t>
  </si>
  <si>
    <t>Kiemelt előirányzatok</t>
  </si>
  <si>
    <t>Működési célú saját bevétel</t>
  </si>
  <si>
    <t xml:space="preserve">               -ebből OEP-től átvett</t>
  </si>
  <si>
    <t>Működési célú pénzmaradvány</t>
  </si>
  <si>
    <t>Működési célú hitelfelvétel</t>
  </si>
  <si>
    <t>Működési célú bevételek összesen:</t>
  </si>
  <si>
    <t>Felhalmozási és tőkejellegű bevétel</t>
  </si>
  <si>
    <t>Sajátos felhalmozási és tőkejellegű bevétel</t>
  </si>
  <si>
    <t>Felhalmozási célú átvett pénzeszköz</t>
  </si>
  <si>
    <t>Felhalmozási célú költségvetési támogatás</t>
  </si>
  <si>
    <t>Felhalmozási célú kölcsöntörlesztés</t>
  </si>
  <si>
    <t>Fejlesztési hitel</t>
  </si>
  <si>
    <t>Felhalmozási pénzmaradvány</t>
  </si>
  <si>
    <t>Felhalmozási célú bevételek összesen:</t>
  </si>
  <si>
    <t>BEVÉTELI ELŐIRÁNYZAT MINDÖSSZESEN:</t>
  </si>
  <si>
    <t>Kiadási előirányzatok</t>
  </si>
  <si>
    <t>Személyi juttatások</t>
  </si>
  <si>
    <t>Munkaadókat terhelő járulékok</t>
  </si>
  <si>
    <t>Dologi kiadások</t>
  </si>
  <si>
    <t>Működési célú pénzeszközátadás, támogatás</t>
  </si>
  <si>
    <t>Általános tartalék</t>
  </si>
  <si>
    <t>Céltartalék</t>
  </si>
  <si>
    <t>Működési célú kiadások összesen:</t>
  </si>
  <si>
    <t>Felújítás - áfával</t>
  </si>
  <si>
    <t>Felhalmozási célú kiadások összesen:</t>
  </si>
  <si>
    <t>KIADÁSI ELŐIRÁNYZAT MINDÖSSZESEN:</t>
  </si>
  <si>
    <t>BEVÉTEL</t>
  </si>
  <si>
    <t>KIADÁS</t>
  </si>
  <si>
    <t>Intézmény</t>
  </si>
  <si>
    <t>MŰKÖDÉSI BEVÉTEL</t>
  </si>
  <si>
    <t>KÖZHATALMI BEVÉTEL</t>
  </si>
  <si>
    <t>MŰKÖDÉSI  TÁMOGATÁSOK</t>
  </si>
  <si>
    <t>EGYÉB MŰKÖDÉSI KIADÁSOK</t>
  </si>
  <si>
    <t>ELLÁTOTTAK PÉNZBENI JUTTATÁSAI</t>
  </si>
  <si>
    <t>ÖSSZES KIADÁS</t>
  </si>
  <si>
    <t>Cím</t>
  </si>
  <si>
    <t xml:space="preserve">Eredeti ei. </t>
  </si>
  <si>
    <t>I.</t>
  </si>
  <si>
    <t>II.</t>
  </si>
  <si>
    <t>Kadarkúti Közös Önkormányzati  Hivatal</t>
  </si>
  <si>
    <t>III.</t>
  </si>
  <si>
    <t>id.Kapoli Antal Művelődési Ház</t>
  </si>
  <si>
    <t>IV.</t>
  </si>
  <si>
    <t>ÖSSZESEN</t>
  </si>
  <si>
    <t>3.sz. melléklet</t>
  </si>
  <si>
    <t>CÍM</t>
  </si>
  <si>
    <t>MEGNEVEZÉS</t>
  </si>
  <si>
    <t>Közvilágítás</t>
  </si>
  <si>
    <t>Védőnői szolgálat</t>
  </si>
  <si>
    <t>Temetési segély</t>
  </si>
  <si>
    <t>Köztemetés</t>
  </si>
  <si>
    <t>KÖTELEZŐ FELADATOK ÖSSZESEN</t>
  </si>
  <si>
    <t>NEM KÖTELEZŐ FELADATOK ÖSSZESEN</t>
  </si>
  <si>
    <t>ÖNKORMÁNYZAT</t>
  </si>
  <si>
    <t>KÖZÖS ÖNKORMÁNYZATI HIVATAL</t>
  </si>
  <si>
    <t>MINDÖSSZESEN</t>
  </si>
  <si>
    <t>Saját bevételek</t>
  </si>
  <si>
    <t>Összesen:</t>
  </si>
  <si>
    <t>MINDÖSSZESEN:</t>
  </si>
  <si>
    <t>Felhalmozási kiadások</t>
  </si>
  <si>
    <t>Európai Uniós forrásból</t>
  </si>
  <si>
    <t>Nem Európai Uniós forrásból</t>
  </si>
  <si>
    <t>KIMUTATÁS</t>
  </si>
  <si>
    <t>Szakfeladat</t>
  </si>
  <si>
    <t>Megnevezés</t>
  </si>
  <si>
    <t>Igazgatás (polgármester)</t>
  </si>
  <si>
    <t>Étkeztetés</t>
  </si>
  <si>
    <t>LÉTSZÁMKERET ÖSSZESEN</t>
  </si>
  <si>
    <t>Kadarkút Város Önkormányzat Európai Uniós támogatással megvalósuló programok, projektek bevételeiről és kiadásairól</t>
  </si>
  <si>
    <t>Kadarkút Város Önkormányzata által tervezett saját bevételek összegei és kezességvállalásokból származó kötelezettségei</t>
  </si>
  <si>
    <t>Bevétel megnevezése</t>
  </si>
  <si>
    <t>Mindösszesen</t>
  </si>
  <si>
    <t>2020.</t>
  </si>
  <si>
    <t>2021.</t>
  </si>
  <si>
    <t>2022.</t>
  </si>
  <si>
    <t>2023.</t>
  </si>
  <si>
    <t>2024.</t>
  </si>
  <si>
    <t>2025.</t>
  </si>
  <si>
    <t>2026.</t>
  </si>
  <si>
    <t>2027.</t>
  </si>
  <si>
    <t>2028.</t>
  </si>
  <si>
    <t>2029.</t>
  </si>
  <si>
    <t>2030.</t>
  </si>
  <si>
    <t>2032.</t>
  </si>
  <si>
    <t>2033.</t>
  </si>
  <si>
    <t>2034.</t>
  </si>
  <si>
    <t>Helyi adókból származó bevétel</t>
  </si>
  <si>
    <t>Bírság, pótlék- és díjbevétel</t>
  </si>
  <si>
    <t>Összesen</t>
  </si>
  <si>
    <r>
      <t>Kezességvállalásokból fennálló  kötelezettségek</t>
    </r>
    <r>
      <rPr>
        <b/>
        <u/>
        <sz val="11"/>
        <rFont val="Arial"/>
        <family val="2"/>
        <charset val="238"/>
      </rPr>
      <t>:</t>
    </r>
    <r>
      <rPr>
        <b/>
        <sz val="11"/>
        <rFont val="Arial"/>
        <family val="2"/>
        <charset val="238"/>
      </rPr>
      <t xml:space="preserve">
A Kaposmenti Hulladékgazdálkodási Önkormányzati Társulás által a "Sikeres Magyarországért" Önkormányzati Infrastruktúrafejlesztési Hitelprogram keretén belül felvett hitelhez való önkormányzati készfizető kezességvállalás</t>
    </r>
  </si>
  <si>
    <t>Céltartalék összesen</t>
  </si>
  <si>
    <t>Kadarkút Város Önkormányzatának 
többéves kihatással járó kiadásairól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</si>
  <si>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</si>
  <si>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</si>
  <si>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</si>
  <si>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</si>
  <si>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</si>
  <si>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</si>
  <si>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</si>
  <si>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</si>
  <si>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</si>
  <si>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</si>
  <si>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</si>
  <si>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</si>
  <si>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Közhatalmi bevételek</t>
  </si>
  <si>
    <t>Működési bevételek</t>
  </si>
  <si>
    <t>Felh.c.átvett pénzeszközök</t>
  </si>
  <si>
    <t>BEVÉTELEK ÖSSZESEN</t>
  </si>
  <si>
    <t>Munkaadói járulék</t>
  </si>
  <si>
    <t>Dologi kiadás</t>
  </si>
  <si>
    <t>Egyéb működési kiadások</t>
  </si>
  <si>
    <t>Tartalékok</t>
  </si>
  <si>
    <t>KIADÁSOK ÖSSZESEN</t>
  </si>
  <si>
    <t>BEV-KIAD. EGYENLEGE</t>
  </si>
  <si>
    <t>Ellátottak pénzbeni juttatása</t>
  </si>
  <si>
    <t>Működési c.támogatások Áht.belülről</t>
  </si>
  <si>
    <t>MŰKÖDÉSI ÁTADÁS</t>
  </si>
  <si>
    <t>Kötelező feladatokhoz támogatás</t>
  </si>
  <si>
    <t>Fogászati  és hétvégi ügyelet</t>
  </si>
  <si>
    <t>Hulladékkezelési rekultivációs program</t>
  </si>
  <si>
    <t>Nem kötelező feladatokhoz támogatás</t>
  </si>
  <si>
    <t>MINDÖSSZESEN :</t>
  </si>
  <si>
    <t>Ellátottak térítési díjának, ill. kártérítésének méltányossági alapon történő elengedése:</t>
  </si>
  <si>
    <t xml:space="preserve">Intézményi ellátási díjak </t>
  </si>
  <si>
    <t>Tervezett bevétel összesen:</t>
  </si>
  <si>
    <t>Térítési díj támogatás</t>
  </si>
  <si>
    <t>Közvetett támogatás összesen:</t>
  </si>
  <si>
    <t>Lakosság részére lakásépítéshez, lakásfelújításhoz nyújtott kölcsönök elengedése:</t>
  </si>
  <si>
    <t>Helyi adónál, gépjárműadónál biztosított kedvezmény, mentesség összege adónemenként:</t>
  </si>
  <si>
    <t>Kedvezmények miatti csökkentés:</t>
  </si>
  <si>
    <t>Gépjárműadó</t>
  </si>
  <si>
    <t>Kedvezmények miatti csökkentés</t>
  </si>
  <si>
    <t>Mentességek miatti csökkentés:</t>
  </si>
  <si>
    <t>Helyiségek, eszközök hasznosításából származó bevételből nyújtott kedvezmény, mentesség:</t>
  </si>
  <si>
    <t>Helyiségek bérbeadása, hasznosítása (………... ingatlanok):</t>
  </si>
  <si>
    <t>Ingyenes használatba adott ingatlanok éves bérleti díja:</t>
  </si>
  <si>
    <t>Egyéb nyújtott kedvezmény vagy kölcsön elengedés:</t>
  </si>
  <si>
    <t>Ingatlan értékesítés (lakások) vételára:</t>
  </si>
  <si>
    <t>KÖZVETETT TÁMOGATÁSOK MINDÖSSZESEN:</t>
  </si>
  <si>
    <t>Jogszabály alapján alanyi jogon járó, illetve normatív támogatások:</t>
  </si>
  <si>
    <t>Jogszabály alapján folyósított támogatás összesen:</t>
  </si>
  <si>
    <t>Helyi önkormányzati rendelet alapján folyósított támogatások:</t>
  </si>
  <si>
    <t>Helyi önkormányzati rendelet alapján folyósított tám. összesen:</t>
  </si>
  <si>
    <t>I.+II.MINDÖSSZESEN:</t>
  </si>
  <si>
    <t>A fentiekből:</t>
  </si>
  <si>
    <t xml:space="preserve"> - állami (államigazgatási) feladatok kiadása:                              </t>
  </si>
  <si>
    <t xml:space="preserve"> - önként vállalt feladatok kiadása:                                                     </t>
  </si>
  <si>
    <t>"ÖSSZESÍTŐ"</t>
  </si>
  <si>
    <t>KSH kód:</t>
  </si>
  <si>
    <t>Helyi önkormányzat: Kadarkút</t>
  </si>
  <si>
    <t>Többcélú kistérségi társulás:</t>
  </si>
  <si>
    <t>Jogcím</t>
  </si>
  <si>
    <t>száma</t>
  </si>
  <si>
    <t>Támogatás (Ft)</t>
  </si>
  <si>
    <t>I.1.a)</t>
  </si>
  <si>
    <t>I.1.b)</t>
  </si>
  <si>
    <t>I.1.b) Település-üzemeltetéshez kapcsolódó feladatellátás támogatása összesen</t>
  </si>
  <si>
    <t>I.1.ba)</t>
  </si>
  <si>
    <t>I.1.ba) A zöldterület-gazdálkodással kapcsolatos feladatok ellátásának támogatása</t>
  </si>
  <si>
    <t>I.1.bb)</t>
  </si>
  <si>
    <t>I.1.bb) Közvilágítás fenntartásának támogatása</t>
  </si>
  <si>
    <t>I.1.bc)</t>
  </si>
  <si>
    <t>I.1.bc) Köztemető fentartással kapcsolatos feladatok támogatása</t>
  </si>
  <si>
    <t>I.1.bd)</t>
  </si>
  <si>
    <t>I.1.bd) Közutak fenntartásának támogatása</t>
  </si>
  <si>
    <t>I.1.c)</t>
  </si>
  <si>
    <t>Egyéb önkormányzati feladtok támogatása</t>
  </si>
  <si>
    <t>I.1.d)</t>
  </si>
  <si>
    <t>Lakott külterület támogatás</t>
  </si>
  <si>
    <t>kiegészítés I.1. jogcímekhez kapcsolódó kiegészítés</t>
  </si>
  <si>
    <t>I. ÁLTALÁNOS FELADATOK TÁMOGATÁSA ÖSSZESEN</t>
  </si>
  <si>
    <t>Gyerekétkeztetés üzemeltetési támogatása</t>
  </si>
  <si>
    <t>III.3.</t>
  </si>
  <si>
    <t>III.3. Egyes szociális és gyermekjóléti feladatok támogatása</t>
  </si>
  <si>
    <r>
      <t xml:space="preserve">Könyvtári, közművelődési és múzeumi feladatok támogatása </t>
    </r>
    <r>
      <rPr>
        <i/>
        <sz val="10"/>
        <rFont val="Times New Roman CE"/>
        <family val="1"/>
        <charset val="238"/>
      </rPr>
      <t>(2.sz. melléklet IV.1. pontja)</t>
    </r>
  </si>
  <si>
    <t>IV. A TELEPÜLÉSI ÖNKORMÁNYZATOK KULTURÁLIS FELADATAINAK TÁMOGATÁSA ÖSSZESEN</t>
  </si>
  <si>
    <t>BEVÉTELEK</t>
  </si>
  <si>
    <t>Önkormányzatok működési támogatása:</t>
  </si>
  <si>
    <t>Közhatalmi bevételek összesen:</t>
  </si>
  <si>
    <t>Működési bevételek összesen:</t>
  </si>
  <si>
    <t>Költségvetési maradvány összesen:</t>
  </si>
  <si>
    <t>BEVÉTELEK ÖSSZESEN:</t>
  </si>
  <si>
    <t>KIADÁSOK</t>
  </si>
  <si>
    <t>Munkáltatót terhelő járulékok</t>
  </si>
  <si>
    <t>Ellátottak pénzbeni juttatásai</t>
  </si>
  <si>
    <t>Működési kiadások összesen:</t>
  </si>
  <si>
    <t>Tartalékok összesen:</t>
  </si>
  <si>
    <t>Felhalmozási kiadások:</t>
  </si>
  <si>
    <t>KIADÁSOK ÖSSZESEN:</t>
  </si>
  <si>
    <t>Kadarkút Város Önkormányzatának címrendje</t>
  </si>
  <si>
    <t>Kadarkút Város Önkormányzata</t>
  </si>
  <si>
    <t>Önkormányzatok működési támogatása</t>
  </si>
  <si>
    <t>Működési célú támogatások 
ÁHT belülről</t>
  </si>
  <si>
    <t>Működési célú átvett pénzeszközök</t>
  </si>
  <si>
    <t>Felhalmozási célú átvett pénzeszközök</t>
  </si>
  <si>
    <t>Maradvány igénybevétel</t>
  </si>
  <si>
    <t>Munkáltatót terhelő járulék</t>
  </si>
  <si>
    <t>Helyi adóból származó bevételek</t>
  </si>
  <si>
    <t>Önkormányzati vagyon és az önk.-ot megillető vagyoni jog értékesitéséből és hasznositásából származó bevétel</t>
  </si>
  <si>
    <t>Osztalék,koncessziós dij és hozambevétel</t>
  </si>
  <si>
    <t>Tárgyi eszközök,imm.javak,részvény,részesedés, vállalat értr.ből vagy privatizációból származó bevétel</t>
  </si>
  <si>
    <t>Bírság-, pótlék- és díjbevétel</t>
  </si>
  <si>
    <t>Kezességvállalással kapcsolatos megtérülés</t>
  </si>
  <si>
    <t xml:space="preserve">Összesen: </t>
  </si>
  <si>
    <t>Adósságot keletkeztető ügyletek</t>
  </si>
  <si>
    <t>Felvett, átvállalt hitel, kölcsön</t>
  </si>
  <si>
    <t>Hitelviszonyt megtestesítő értékpapír</t>
  </si>
  <si>
    <t>Váltó</t>
  </si>
  <si>
    <t>Pénzügyi lízing</t>
  </si>
  <si>
    <t>Adásvételi szerződés megkötése a visszavásárlási kötelezettség kikötésével</t>
  </si>
  <si>
    <t>Halasztott fizetés, részletfizetés, és a még ki nem fizetett ellenérték</t>
  </si>
  <si>
    <t>Kezességvállalásból eredő fizetési kötelezettség</t>
  </si>
  <si>
    <t>V.</t>
  </si>
  <si>
    <t xml:space="preserve">Kadarkút Város Önkormányzatának költségvetési évet követő 3 évre vonatkozó előirányzatai </t>
  </si>
  <si>
    <t>Cím száma</t>
  </si>
  <si>
    <t>Cím megnevezése</t>
  </si>
  <si>
    <t>Id.Kapoli Antal Művelődési Ház</t>
  </si>
  <si>
    <t>Bokor József Városi Könyvtár</t>
  </si>
  <si>
    <t>MUNKAADÓKAT TERHELŐ JÁRULÉK</t>
  </si>
  <si>
    <t>DOLOGI KIADÁSOK</t>
  </si>
  <si>
    <t>KÖLTSÉGVETÉSI MARADVÁNY IGÉNYBEVÉTELE</t>
  </si>
  <si>
    <t>Kadarkúti Szociális Alapszolgáltatási Központ</t>
  </si>
  <si>
    <t>011130</t>
  </si>
  <si>
    <t>Zöldterület-kezelés</t>
  </si>
  <si>
    <t>066010</t>
  </si>
  <si>
    <t>066020</t>
  </si>
  <si>
    <t>Városgazd.egyéb szolg.(brigád)</t>
  </si>
  <si>
    <t>074031</t>
  </si>
  <si>
    <t>096015</t>
  </si>
  <si>
    <t>Biztos Kezdet Gyerekház</t>
  </si>
  <si>
    <t>Id. Kapoli Antal Művelődési Ház összesen:</t>
  </si>
  <si>
    <t>Bokor József Városi Könyvtár összesen:</t>
  </si>
  <si>
    <t>Kadarkúti Közös Önkormányzati Hivatal összesen:</t>
  </si>
  <si>
    <t>Önkormányzat (inzézmények nélkül) összesen:</t>
  </si>
  <si>
    <t>TARTALÉK ÖSSZESEN</t>
  </si>
  <si>
    <t>Ápolási díj</t>
  </si>
  <si>
    <t>BURSA támogatás</t>
  </si>
  <si>
    <t>Kadarkúti Közös Önkormányzati Hivatal</t>
  </si>
  <si>
    <t>Id. Kapoli Antal Művelődési Központ</t>
  </si>
  <si>
    <t>IRÁNYÍTÓ SZERVI TÁMOGATÁS</t>
  </si>
  <si>
    <t>IRÁNYÍTÓ SZERVI TÁMOGATÁS FOLYÓSÍTÁSA</t>
  </si>
  <si>
    <t>Eredeti ei.</t>
  </si>
  <si>
    <t>ÖSSZES KIADÁS (IRÁNYÍTÓ SZERVI TÁMOGATÁS NÉLKÜL)</t>
  </si>
  <si>
    <t>Egyéb felhalmozási célú kiadások</t>
  </si>
  <si>
    <t>Rendkívüli önkormányzati támogatás</t>
  </si>
  <si>
    <t>Magánszemélyek kommunális adója</t>
  </si>
  <si>
    <t>Műk. célú átvett pénzeszközök összesen:</t>
  </si>
  <si>
    <t>013320</t>
  </si>
  <si>
    <t>013350</t>
  </si>
  <si>
    <t>016080</t>
  </si>
  <si>
    <t>041233</t>
  </si>
  <si>
    <t>041237</t>
  </si>
  <si>
    <t>045160</t>
  </si>
  <si>
    <t>051030</t>
  </si>
  <si>
    <t>052080</t>
  </si>
  <si>
    <t>063020</t>
  </si>
  <si>
    <t>064010</t>
  </si>
  <si>
    <t>072111</t>
  </si>
  <si>
    <t>072311</t>
  </si>
  <si>
    <t>072450</t>
  </si>
  <si>
    <t>081045</t>
  </si>
  <si>
    <t>096025</t>
  </si>
  <si>
    <t>104037</t>
  </si>
  <si>
    <t>104044</t>
  </si>
  <si>
    <t>106010</t>
  </si>
  <si>
    <t>107060</t>
  </si>
  <si>
    <t>Önk.jogalkotó és ált.igazgat.tev.</t>
  </si>
  <si>
    <t>Vagyongazdálkodás</t>
  </si>
  <si>
    <t>Kiemelt önkormányzati rendezvények</t>
  </si>
  <si>
    <t>Hosszabb időtartamú közfoglalkoztatás</t>
  </si>
  <si>
    <t>Közfoglalkoztatási mintaprogram</t>
  </si>
  <si>
    <t>Szennyvízcsatorna fenntartása, üzemeltetése</t>
  </si>
  <si>
    <t>Víztermelés,- kezelés,- ellátás</t>
  </si>
  <si>
    <t>Városgazd. egyéb szolg.</t>
  </si>
  <si>
    <t>Háziorvosi alapellátás</t>
  </si>
  <si>
    <t>Fogorvosi alapellátás</t>
  </si>
  <si>
    <t>Fizikoterápiás szolg. (labor)</t>
  </si>
  <si>
    <t>Szabadidő- sporttevékenység támogatás</t>
  </si>
  <si>
    <t>Óvodatársulás támogatása</t>
  </si>
  <si>
    <t>Gyermekétkeztetés köznevelési intézményben</t>
  </si>
  <si>
    <t>Lakóing. szoc. célú bérbead., üzemelt.</t>
  </si>
  <si>
    <t>Egyéb szoc. pénzbeli és term. ellátások</t>
  </si>
  <si>
    <t>SZEMÉLYI JUTTATÁS</t>
  </si>
  <si>
    <t>Házi segítségnyújtás</t>
  </si>
  <si>
    <t>Család és gyermekjóléti szolgáltatások</t>
  </si>
  <si>
    <t>Idősek nappali ellátása</t>
  </si>
  <si>
    <t>Szociális étkeztetés</t>
  </si>
  <si>
    <t>082091</t>
  </si>
  <si>
    <t>Id. KAPOLI ANTAL MŰVELŐDÉSI HÁZ</t>
  </si>
  <si>
    <t>Közművelődés-közösségi és társ.tev.részv.fejl.</t>
  </si>
  <si>
    <t>Könyvtári szolgáltatások</t>
  </si>
  <si>
    <t>BOKOR JÓZSEF VÁROSI KÖNYVTÁR</t>
  </si>
  <si>
    <t>082044</t>
  </si>
  <si>
    <t>107052</t>
  </si>
  <si>
    <t>104042</t>
  </si>
  <si>
    <t>102031</t>
  </si>
  <si>
    <t>107051</t>
  </si>
  <si>
    <t>KADARKÚTI SZOCIÁLIS ALAPSZOLGÁLTATÁSI KÖZPONT</t>
  </si>
  <si>
    <t>KIEMELT ELŐIRÁNYZATOK</t>
  </si>
  <si>
    <t>Egyéb szoc. pénzbeli és term. ellátások (BURSA)</t>
  </si>
  <si>
    <t>Felhalmozási célúpénzeszközátadás</t>
  </si>
  <si>
    <t>Beruházás - áfával</t>
  </si>
  <si>
    <t>II. TELEPÜLÉSI ÖNKORMÁNYZATOK EGYES KÖZNEVELÉSI FELADATAINAK TÁMOGATÁSA ÖSSZESEN</t>
  </si>
  <si>
    <t>A települési önkormányzatok szociális feladatainak egyéb támogatása</t>
  </si>
  <si>
    <t>Család- és gyermekjóléti szolgálat</t>
  </si>
  <si>
    <t>Működési célú költségvetési támogatások és kiegészítő támogatások</t>
  </si>
  <si>
    <t>Kiemelt előir. megnevezése</t>
  </si>
  <si>
    <t>beruházás</t>
  </si>
  <si>
    <t>felújítás</t>
  </si>
  <si>
    <t>2035.</t>
  </si>
  <si>
    <t>Osztalék, koncessziós díj, hozambevétel</t>
  </si>
  <si>
    <t>Költségvetési maradvány</t>
  </si>
  <si>
    <t>Tűzoltóegyesület támogatása</t>
  </si>
  <si>
    <t>Óvoda társulás támogatása</t>
  </si>
  <si>
    <t>Id. Kapoli Antal Művelődési Ház</t>
  </si>
  <si>
    <t>Kadarkúti Szociális Alapszolgáltatási Központ összesen:</t>
  </si>
  <si>
    <t>Fejlesztési cél megnevezése</t>
  </si>
  <si>
    <t>Kormányzati funkció</t>
  </si>
  <si>
    <t>Működési célú költségvetési támogatás</t>
  </si>
  <si>
    <t xml:space="preserve"> Ft-ban</t>
  </si>
  <si>
    <t>Ellátottak pénzbeli juttatásai</t>
  </si>
  <si>
    <t>Államháztartáson belüli megelőlegezés visszafizetése</t>
  </si>
  <si>
    <t>Közhatalmi bevétel</t>
  </si>
  <si>
    <t>Működési célú átvett pénzeszköz, kölcsöntörl.</t>
  </si>
  <si>
    <t>2036.</t>
  </si>
  <si>
    <t xml:space="preserve"> Forintban</t>
  </si>
  <si>
    <t>Felhalmozási költségvetési maradvány igénybevétele</t>
  </si>
  <si>
    <t>Köztemető fenntartás</t>
  </si>
  <si>
    <t>Közutak üzemeltetése</t>
  </si>
  <si>
    <t>Települési hulladékkezelés</t>
  </si>
  <si>
    <t>018030</t>
  </si>
  <si>
    <t>018010</t>
  </si>
  <si>
    <t>Áht-n belüli megelőlegezés visszafiz.</t>
  </si>
  <si>
    <t>Munkahelyi vendéglátás</t>
  </si>
  <si>
    <t>Köznevelési intézményen kívüli gyermekétk.</t>
  </si>
  <si>
    <t>A hozzájárulások és támogatások összesítése:</t>
  </si>
  <si>
    <t>Segítők 8 havi támogatása5 fő</t>
  </si>
  <si>
    <t>Segítők 4 havi támogatása 5 fő</t>
  </si>
  <si>
    <t>Helyi önkormányzatok és többcélú kistérségi társulások egyes költségvetési kapcsolatokból számított bevételei összesen</t>
  </si>
  <si>
    <t>Zselici Lámpások támogatása</t>
  </si>
  <si>
    <t>TÖOSZ támogatása</t>
  </si>
  <si>
    <t>Kisvárosok Szövetségének támogatása</t>
  </si>
  <si>
    <t>Polgárőrség támogatása</t>
  </si>
  <si>
    <t>Települési támogatás</t>
  </si>
  <si>
    <t xml:space="preserve">Államháztartáson belüli megelőlegezés </t>
  </si>
  <si>
    <t xml:space="preserve">Járási startmunka mintaprogram </t>
  </si>
  <si>
    <t>Felh. és tőkejellegű bevétel</t>
  </si>
  <si>
    <t>Áht-n belüli megelőleg.visszafiz.</t>
  </si>
  <si>
    <t>Saját bevételek és az adósságot keletkeztető ügyletekből és kezességvállalásokból fennálló kötelezettségek aránya</t>
  </si>
  <si>
    <t>2018. évi
 eredeti előirányzat</t>
  </si>
  <si>
    <t>Polgármesteri illetmény támogatása</t>
  </si>
  <si>
    <t xml:space="preserve">Alapfokozatú végzettségű pedagógus II. kategóriába sorolt óvodapedagógus kiegészítő támogatása 2 fő </t>
  </si>
  <si>
    <t>I.1.a) Önkormányzati hivatal működésének támogatása 15,44 fő</t>
  </si>
  <si>
    <t>2018. évi támogatási előleg</t>
  </si>
  <si>
    <t>"Térségi összefogás a Zselicben a humán kapacitások fejlesztéséért" EFOP-3.9.2.</t>
  </si>
  <si>
    <t>Kiemelt előir. Megnev.</t>
  </si>
  <si>
    <t xml:space="preserve">"Együtt a Zselicben a humán szolgáltatások fejlesztéséért"
EFOP-1.5.3 </t>
  </si>
  <si>
    <t>2037.</t>
  </si>
  <si>
    <t>013370</t>
  </si>
  <si>
    <t>Informatikai fejlesztések, szolgáltatások</t>
  </si>
  <si>
    <t>084010</t>
  </si>
  <si>
    <t>084070</t>
  </si>
  <si>
    <t>Társadalmi esélyegy-el összefüggő feladatok</t>
  </si>
  <si>
    <t>Fiatalok társad. Integr. Segítő struktúra fejlesztés</t>
  </si>
  <si>
    <t>104051</t>
  </si>
  <si>
    <t>Gyemekvédelmi, pénzbeli és természetbeli ellátások</t>
  </si>
  <si>
    <t>Koncessziós díj bevétel számla</t>
  </si>
  <si>
    <r>
      <rPr>
        <b/>
        <sz val="14"/>
        <rFont val="Times New Roman"/>
        <family val="1"/>
        <charset val="238"/>
      </rPr>
      <t>Általános tartalék összesen</t>
    </r>
    <r>
      <rPr>
        <sz val="14"/>
        <rFont val="Times New Roman"/>
        <family val="1"/>
        <charset val="238"/>
      </rPr>
      <t xml:space="preserve"> </t>
    </r>
  </si>
  <si>
    <t>2/1 oldal</t>
  </si>
  <si>
    <t>2/2 oldal</t>
  </si>
  <si>
    <t>041236</t>
  </si>
  <si>
    <t>Országos közfoglakoztatási program</t>
  </si>
  <si>
    <t>ÖSSZESEN
EREDETI EI</t>
  </si>
  <si>
    <t>EREDETI EI</t>
  </si>
  <si>
    <t>084070 / 084020</t>
  </si>
  <si>
    <t>ÖSSZES BEVÉTEL</t>
  </si>
  <si>
    <t>fő</t>
  </si>
  <si>
    <t xml:space="preserve"> összege
Eredeti Ei.</t>
  </si>
  <si>
    <t>mértéke
Eredeti Ei.</t>
  </si>
  <si>
    <t>Önkormányzati hivatal működési támogatása (B111)</t>
  </si>
  <si>
    <t>A települési önkormányzatok egyes köznevelési feladatainak támogatása (B112)</t>
  </si>
  <si>
    <t>Zöldterület-gazdálkodással kapcsoaltos feladatok (B111)</t>
  </si>
  <si>
    <t>Közvilágítás fenntartásának támogatása (B111)</t>
  </si>
  <si>
    <t>Köztemető fenntartással kapcsoaltos feladatok támogatása (B111)</t>
  </si>
  <si>
    <t>Közutak fenntartásának támogatása (B111)</t>
  </si>
  <si>
    <t>Egyéb önkormányzati feladatok támogatása (B111)</t>
  </si>
  <si>
    <t>Kiegészítés I. jogcímekhez (B111)</t>
  </si>
  <si>
    <t>Polgármesteri illetmény támogatása (B111)</t>
  </si>
  <si>
    <t>Lakott külterület támogatás (B111)</t>
  </si>
  <si>
    <t>A települési önkormányzatok szociális feladatainak egyéb támogatása (B113)</t>
  </si>
  <si>
    <t>Szociális és gyerekjóléti feladatok  (B113)</t>
  </si>
  <si>
    <t>Gyermekétkeztetési feladatok támogatása  (B113)</t>
  </si>
  <si>
    <t>Gyermekétkeztetés üzemeltetési támogatása  (B113)</t>
  </si>
  <si>
    <t>A rászoruló gyermekek intézményen kívüli szünidei étkeztetésének támogatása  (B113)</t>
  </si>
  <si>
    <t>Közművelődési feladatok támogatása (B114)</t>
  </si>
  <si>
    <t>Működési célú támogatás Áht.-n belülről: (B16)</t>
  </si>
  <si>
    <t>Magánszemélyek kommunális adója (B34)</t>
  </si>
  <si>
    <t>Állandó jelleggel végzett tevékenység után fizetendő iparűzési adó (B351)</t>
  </si>
  <si>
    <t>Gépjárműadó 40% (B354)</t>
  </si>
  <si>
    <t>Pótlékok és bírságok (B36)</t>
  </si>
  <si>
    <t>Talajterhelési díj (B36)</t>
  </si>
  <si>
    <t>Egyéb közhatalmi bevételek (ig.szolg.-i díj) (B36)</t>
  </si>
  <si>
    <t>Készletértékesítés (B401)</t>
  </si>
  <si>
    <t>Közvetített szolgáltatások bevétele (B403)</t>
  </si>
  <si>
    <t>Tárgyi eszköz bérbeadásából származó bevétel (B402)</t>
  </si>
  <si>
    <t>Tulajdonosi bevételek (B404)</t>
  </si>
  <si>
    <t>Intézményi ellátási díjak (B405)</t>
  </si>
  <si>
    <t>Kiszámlázott áfa bevétel (B406)</t>
  </si>
  <si>
    <t>Áfa visszatérítése (B407)</t>
  </si>
  <si>
    <t>Kamatbevételek (B4082)</t>
  </si>
  <si>
    <t>Egyéb működési bevétel (B411)</t>
  </si>
  <si>
    <t>Költségvetési maradvány (B8131)</t>
  </si>
  <si>
    <t>Műk. célú kölcsön törlesztése háztartástól (B411)</t>
  </si>
  <si>
    <t>Személyi juttatások (K1101, K1103, K1109, K1110, K1113, K121, K122, K123)</t>
  </si>
  <si>
    <t>Ellátottak pénzbeni juttatásai (K42,K47, K48)</t>
  </si>
  <si>
    <t>Általános tartalék (K513)</t>
  </si>
  <si>
    <t>Céltartalék (K513)</t>
  </si>
  <si>
    <t>Felújítás (K71, K73, K74)</t>
  </si>
  <si>
    <t>ÁHT-n belüli megelőlegezés visszafizetése (K914)</t>
  </si>
  <si>
    <t>041232</t>
  </si>
  <si>
    <t>Start munkaprogram</t>
  </si>
  <si>
    <t>106020</t>
  </si>
  <si>
    <t>Lakásfenntartással, lakhatással összefüggő ellátások (szoc.tüzifa)</t>
  </si>
  <si>
    <t>082042</t>
  </si>
  <si>
    <t>Könyvtári állomány gyarapítása</t>
  </si>
  <si>
    <t>Önkormányzatok elszámolásai a központi költségvetéssel</t>
  </si>
  <si>
    <t>Támogatási célú finansz. Műveletek</t>
  </si>
  <si>
    <t>Költségvetési maradvány
 (098)
EREDETI EI</t>
  </si>
  <si>
    <t>Bevételek</t>
  </si>
  <si>
    <t>KADARKÚT VÁROS ÖNKORMÁNYZATA</t>
  </si>
  <si>
    <t>900020</t>
  </si>
  <si>
    <t>Önkormányzati funkcióra nem sorolt bevét</t>
  </si>
  <si>
    <t>Központi irányítószervi támogatás
 (098)
EREDETI EI</t>
  </si>
  <si>
    <t>Gyermekvédelmi és pénzbeli term.beli ellátások</t>
  </si>
  <si>
    <t>Működési célú önkormányzati támogatás  (B115)</t>
  </si>
  <si>
    <t>Felhalmozási célú bevételek összesen: (B21,B23, B25)</t>
  </si>
  <si>
    <t>Elszámolásból származó bevételek (B116)</t>
  </si>
  <si>
    <t>Beruházás (K61,K62, K63, K64, K67)</t>
  </si>
  <si>
    <t>EREDETI EI
Összeg</t>
  </si>
  <si>
    <t>059.
ÁLLAMHÁZTAR- TÁSON BELÜLI MEGELŐLEGEZÉS VISSZAFIZETÉSE
EREDETI EI</t>
  </si>
  <si>
    <t>055121.
ELLÁTOTTAK PÉNZBENI PÉNZBENI  JUTTATÁSAI
EREDETI EI</t>
  </si>
  <si>
    <t>059.
PÉNZÜGYI LÍZING KIADÁS
EREDETI EI</t>
  </si>
  <si>
    <t>055.
MŰKÖDÉSI C. ÁTADOTT PÉNZESZK.
EREDETI EI</t>
  </si>
  <si>
    <t>Pénzügyi lízing kiadásai (K917)</t>
  </si>
  <si>
    <t>Működési bevétel TB alapoktól (B16)</t>
  </si>
  <si>
    <t>Működési bevétel Munkaügyi Központtól (B16)</t>
  </si>
  <si>
    <t>Biztos Kezdet Gyerekház támogatása (B16)</t>
  </si>
  <si>
    <t>Központi kezelésű működési támogatás bevétele (B16)</t>
  </si>
  <si>
    <t>Nyári diákmunka támogatása (B16)</t>
  </si>
  <si>
    <t>EFOP program támogatása (B25)</t>
  </si>
  <si>
    <t>Szociális Alaszolg. Kp. konyha tető felújítás, eszköz beszerzés támogatása (B25)</t>
  </si>
  <si>
    <t>Biztosítók által fizetett kártérítés (B410)</t>
  </si>
  <si>
    <t>Működési bevétel helyi önkormányzatoktól   (B16)</t>
  </si>
  <si>
    <t>Működési bevétel Megyei Könyvtártól  (B16)</t>
  </si>
  <si>
    <t>Működési bevétel államháztartáson belülről- ASP bevezetés többlet feladat  (B16)</t>
  </si>
  <si>
    <t xml:space="preserve">Dologi kiadások (K311,K312,K312,K321,K322, K331, K332, K333, K334, K335, K336, K337,  K341, K351,K352, K353, K354, K355, </t>
  </si>
  <si>
    <t>Műk.célú pénzeszk átadás Áht kivűlre (K512)</t>
  </si>
  <si>
    <t>Műk.célú pénzeszk átadás Áht belülre  (K506)</t>
  </si>
  <si>
    <t>Helyi önkormányzatok előző évi elszámolásból származó kiadások (K5021)</t>
  </si>
  <si>
    <t>Helyi önkormányzatok előző évi elsz. Kiad</t>
  </si>
  <si>
    <t>Pénzügyi lízing kiadásai</t>
  </si>
  <si>
    <t>HITELFELVÉTEL /  PÉNZÜGYI LÍZING</t>
  </si>
  <si>
    <t>HITEL / LÍZING</t>
  </si>
  <si>
    <t>ÖSSZES BEVÉTEL (IRÁNYÍTÓSZERVI TÁMOGATÁS NÉLKÜL)</t>
  </si>
  <si>
    <t xml:space="preserve">Gépjármű lízing </t>
  </si>
  <si>
    <t>Tőke</t>
  </si>
  <si>
    <t>Kamat</t>
  </si>
  <si>
    <t xml:space="preserve">Áfa </t>
  </si>
  <si>
    <t xml:space="preserve">Zártvégű pénzügyi lízing
DACIA DOKKER 1.6 </t>
  </si>
  <si>
    <t>Törlesztési terv forintban</t>
  </si>
  <si>
    <t>Esedékesség dátuma</t>
  </si>
  <si>
    <t xml:space="preserve">Tőkerészlet </t>
  </si>
  <si>
    <t xml:space="preserve">Törlesztő részlet </t>
  </si>
  <si>
    <t>Kamatrészlet</t>
  </si>
  <si>
    <t>összesen</t>
  </si>
  <si>
    <t>Összes előre fizetendő díj</t>
  </si>
  <si>
    <t>Penzügyi lízing Kiadásai</t>
  </si>
  <si>
    <t>Pénzügyi Lízing kiadásai</t>
  </si>
  <si>
    <t>Helyi önk. Előző évi elszám. Szárm kiad</t>
  </si>
  <si>
    <t>052. 
MUNK. TERH. JÁRULÉK
EREDETI EI</t>
  </si>
  <si>
    <t>053.  
DOLOGI KIADÁS
EREDETI EI</t>
  </si>
  <si>
    <t xml:space="preserve">
055.
TARTALÉK
EREDETI EI</t>
  </si>
  <si>
    <t>051.
SZEMÉLYI JUTTATÁS
EREDETI EI</t>
  </si>
  <si>
    <t xml:space="preserve">
056.
BERUHÁZÁS
EREDETI EI
</t>
  </si>
  <si>
    <t xml:space="preserve">
057.
FELÚJÍTÁS
EREDETI EI</t>
  </si>
  <si>
    <t>Kadarkút Város Önkormányzat 2019. évi tartaléka</t>
  </si>
  <si>
    <t>Kadarkút Város Önkormányzatának előirányzat felhasználási és likviditási ütemterve 2019. évben</t>
  </si>
  <si>
    <t>2019. évi eredeti ei</t>
  </si>
  <si>
    <t>Támogatási célú fin. Műv (Katasztrófavédelem, fogászat, vakok és gyengénlátók)</t>
  </si>
  <si>
    <t>900060</t>
  </si>
  <si>
    <t>Pénzügyi műveletek kiadásai (Szaszk autó)</t>
  </si>
  <si>
    <t>082092</t>
  </si>
  <si>
    <t>Közművelődés-hagyományos közösségi kulturális érték gondozás</t>
  </si>
  <si>
    <t>082093</t>
  </si>
  <si>
    <t>Közművelődés egész életre iterjedő tanulás</t>
  </si>
  <si>
    <t>082094</t>
  </si>
  <si>
    <t>Közművelődés kulturális alapú gazdfaság fejlesztés</t>
  </si>
  <si>
    <t>104031</t>
  </si>
  <si>
    <t>gyermekek bölcsődében és minibölcsödében történő ellátása</t>
  </si>
  <si>
    <t>ÖSSZESEN
EREDETI  EI</t>
  </si>
  <si>
    <t>általános támogatás</t>
  </si>
  <si>
    <t>Bölcsődei dajkák, középfokú végzettségű kisgyermek nevelők</t>
  </si>
  <si>
    <t>Bölcsődei üzemeltetés támogatása</t>
  </si>
  <si>
    <t>Működési bevételek
(094)
EREDETI EI</t>
  </si>
  <si>
    <t xml:space="preserve"> Működési támogatások 
(091)
EREDETI EI</t>
  </si>
  <si>
    <t>Felhalmozási célú támogatások 
(092)
EREDETI EI</t>
  </si>
  <si>
    <t>Közhatalmi bevételek
 (093)
EREDETI EI</t>
  </si>
  <si>
    <t>Traktor beszerzés támogatás (ÁHT-n belül) (B25)</t>
  </si>
  <si>
    <t>Kamerarendszer kiépítésének támogatása</t>
  </si>
  <si>
    <t>Működési célú önkormányzati támogatás (REKI)</t>
  </si>
  <si>
    <t>+ int finansz</t>
  </si>
  <si>
    <t>Óvodapedagógusok 8 havi támogatása 10,3 fő</t>
  </si>
  <si>
    <t>Óvodapedagógusok 4 havi támogatása 10,5 fő</t>
  </si>
  <si>
    <t>Óvodaműködtetési támogatás - 8 hónap 105 fő</t>
  </si>
  <si>
    <t>Óvodaműködtetési támogatás - 4 hónap 105 fő</t>
  </si>
  <si>
    <t xml:space="preserve">Alapfokozatú végzettségű pedagógus II. kategóriába sorolt óvodapedagógus, akik a minősítést  2018.01.01-i átsorolással szerezték meg  5 fő </t>
  </si>
  <si>
    <t>Házi segytségnyújtás-szociális segítés 6 fő</t>
  </si>
  <si>
    <t>Időskorúak nappali intézményi ellátása 17 fő</t>
  </si>
  <si>
    <t>Bölcsődei elismert szakmai létszáma 2,5 fő</t>
  </si>
  <si>
    <t>Bölcsőde üzemeltetési támogatása</t>
  </si>
  <si>
    <t>-melyből EFOP 3-9-2 program támogatása</t>
  </si>
  <si>
    <t>-melyből EFOP 1-5-3 program támogatása</t>
  </si>
  <si>
    <t>ÖSSZEG
EREDETI Ei.</t>
  </si>
  <si>
    <t>EFOP-3-9-2 óvoda vizesblok és rekortánpálya világítása</t>
  </si>
  <si>
    <t>Orvosi rendelő építés új építési terv készítés</t>
  </si>
  <si>
    <t>2019. évi engedélyezett létszám ( fő)
EREDETI EI</t>
  </si>
  <si>
    <t>EREDETI</t>
  </si>
  <si>
    <t>Beruházás teljes  költsége
 (2018-2020)</t>
  </si>
  <si>
    <t>2018. évi tény kiadás összege
Eredeti Ei</t>
  </si>
  <si>
    <t>2019. évi támogatási előleg</t>
  </si>
  <si>
    <t>Megszűnt viziközmű társulattól átvett pénzeszköz számla (2018.12.31. napi egyenleg csökkentve a 2019. évi beruházások összegével)</t>
  </si>
  <si>
    <t>2038.</t>
  </si>
  <si>
    <t>Vakok és gyengénlátómk támogatása</t>
  </si>
  <si>
    <t>Sportegyesület támogatása (labdarúgó)</t>
  </si>
  <si>
    <t xml:space="preserve">Szkanderszövetség éves támogatása </t>
  </si>
  <si>
    <t>Ilyen kedvezmény nyújtását a 2019. évi költségvetésben nem terveztük.</t>
  </si>
  <si>
    <t>Kadarkút Város Önkormányzat 2020. évi kiadásai kormányzati funkciók szerinti bontásban</t>
  </si>
  <si>
    <t>062020</t>
  </si>
  <si>
    <t>Településfejlesztési projektek és támogatásuk</t>
  </si>
  <si>
    <t>szoc támogatás</t>
  </si>
  <si>
    <t>Foglalkoztatás támogatása- TOP pályázat Kisasszond (B16)</t>
  </si>
  <si>
    <t xml:space="preserve">LÉTSZÁM (FŐ)
</t>
  </si>
  <si>
    <t>Szolgáltatások bevétele, tárgyi eszköz bérbeadásából származó bevétel (B402)</t>
  </si>
  <si>
    <t>2019. évi
 eredeti előirányzat</t>
  </si>
  <si>
    <t xml:space="preserve">2020. évi
 eredeti </t>
  </si>
  <si>
    <t>Kadarkút Város Önkormányzatának 
összevont mérlege  2018., 2019., 2020 években</t>
  </si>
  <si>
    <t>Kadarkút Város Önkormányzatának működési bevételei és kiadásai 2020. évben</t>
  </si>
  <si>
    <t>A helyi önkormányzatok központilag szabályzott bevételei 2020. évben</t>
  </si>
  <si>
    <t>Lakos 2019. jan.1.</t>
  </si>
  <si>
    <t>Szociális étkeztetés 85 fő</t>
  </si>
  <si>
    <t>Házi segítségnyújtás-személyi gondozás 18 fő</t>
  </si>
  <si>
    <t>A finanszirozás szemp.elismert dolgozók bértámogatása 9,27 fő</t>
  </si>
  <si>
    <t>A rászoruló gyermekek  szünidei étkeztetésének támogatása 1636 adaG</t>
  </si>
  <si>
    <t>eredeti Ei.</t>
  </si>
  <si>
    <t xml:space="preserve">          Kadarkút Város Önkormányzatának 2020. évi felhalmozási bevételei</t>
  </si>
  <si>
    <t>Kadarkút Város Önkormányzatának 
2020. évi felhalmozási kiadásai</t>
  </si>
  <si>
    <t xml:space="preserve">Focipálya kerítés építés </t>
  </si>
  <si>
    <t xml:space="preserve">Orvosi eszköz beszerzés - Magyar Falu </t>
  </si>
  <si>
    <t>EFOP-3-9-2 informatikai eszköz beszerzés</t>
  </si>
  <si>
    <t xml:space="preserve">2019. Közművelődési érdekeltség növelő pályázat , melyből
- támogatás 1835.000 Ft 
- önerő 1.100.000 Ft </t>
  </si>
  <si>
    <t>2020. Közművelődési érdekeltség növelő pályázat  önerő</t>
  </si>
  <si>
    <t xml:space="preserve">Körmendi utcai ingatlan visszavásárlása </t>
  </si>
  <si>
    <t>Ipari park létesítése</t>
  </si>
  <si>
    <t xml:space="preserve">Pipacs utca járda felújítás , melyből
- pályázati  támogatás 4.999.736 Ft 
- önerő (anyag áfa) 1.350.000 Ft 
- munkadíj 4.500.000 Ft + 1.215.000 Ft áfa </t>
  </si>
  <si>
    <t xml:space="preserve">Művelődési Ház felújítás Magyar Falu program </t>
  </si>
  <si>
    <t>Temető kerítés felújítás- Magyar Falu program</t>
  </si>
  <si>
    <t>Művelődési Ház álmennyezet felújítása</t>
  </si>
  <si>
    <t>Körmendi utca padka javítás</t>
  </si>
  <si>
    <t>Ady Endre utca árok felújítás</t>
  </si>
  <si>
    <t>Közös Hivatal légkondi beszerzés</t>
  </si>
  <si>
    <t>Könyvtár molnárkocsi beszerzás</t>
  </si>
  <si>
    <t xml:space="preserve">SZASZK kerékpár beszerzés (4 db) </t>
  </si>
  <si>
    <t>SZASZK laptop + nyomtató beszerzés</t>
  </si>
  <si>
    <t>SZASZK autó pénzügyi lízing kiadása</t>
  </si>
  <si>
    <t>Biztos Kezdet gyerekház bejárati ajtó beszerzés</t>
  </si>
  <si>
    <t>Szociális bérlakás felújítás</t>
  </si>
  <si>
    <t>Kadarkút Város Önkormányzat 2020. évi létszámkerete kormányzati funkció szerinti bontásban</t>
  </si>
  <si>
    <t>Kadarkút Város Önkormányzat 2020. évi közfoglalkoztatási létszámkerete</t>
  </si>
  <si>
    <t>Kadarkút Város Önkormányzat 2020. évi tartaléka</t>
  </si>
  <si>
    <t>Környezetvédelmi alap számla 2019.12.31. napi egyelege</t>
  </si>
  <si>
    <t>Szociális bérlakás számla (2019.12.31. napi egyenleg csökkentve a 2020. évi beruházások összegével)</t>
  </si>
  <si>
    <t>Önkormányzati bérlakás számla (2019.12.31. napi egyenleg csökkentve a 2020. évi beruházások összegével) + Letéti számla kaució összege</t>
  </si>
  <si>
    <t>Közfoglalkoztatási program számla (2019.12.31. napi egyenleg csökkentve a 2020. évi kiadások összegével)</t>
  </si>
  <si>
    <t>Kadarkút Város Önkormányzat által biztosított közvetlen támogatások 2020. évben</t>
  </si>
  <si>
    <t>Siketek támogatása</t>
  </si>
  <si>
    <t xml:space="preserve">Légimentők támogatása </t>
  </si>
  <si>
    <t xml:space="preserve">Alapítvány létrehozása </t>
  </si>
  <si>
    <t>Jóga oktatás támogatása</t>
  </si>
  <si>
    <t>Minibölcsőde normatív támogatás visszafizetés</t>
  </si>
  <si>
    <t>Kadarkút Város Önkormányzata által nyújtott közvetett támogatásokról 2020. évben</t>
  </si>
  <si>
    <r>
      <t>Kadarkút Város</t>
    </r>
    <r>
      <rPr>
        <b/>
        <i/>
        <u/>
        <sz val="12"/>
        <color indexed="8"/>
        <rFont val="Times New Roman"/>
        <family val="1"/>
        <charset val="238"/>
      </rPr>
      <t xml:space="preserve"> </t>
    </r>
    <r>
      <rPr>
        <b/>
        <u/>
        <sz val="12"/>
        <color indexed="8"/>
        <rFont val="Times New Roman"/>
        <family val="1"/>
        <charset val="238"/>
      </rPr>
      <t>Önkormányzata által a lakosságnak 2020. évben folyósítandó támogatások, szociális, rászorultság jellegű ellátások</t>
    </r>
    <r>
      <rPr>
        <b/>
        <u/>
        <sz val="14"/>
        <rFont val="Times New Roman"/>
        <family val="1"/>
        <charset val="238"/>
      </rPr>
      <t xml:space="preserve"> </t>
    </r>
  </si>
  <si>
    <t>2019. évi tény kiadás összege</t>
  </si>
  <si>
    <t>2020. évi TERV kiadás összege</t>
  </si>
  <si>
    <t>2039.</t>
  </si>
  <si>
    <t>Kadarkút Város Önkormányzat 2020. évi bevételei kormányzati funkciók szerinti bontásban</t>
  </si>
  <si>
    <t>Kadarkút Város Önkormányzat 2020 . évi bevételei és kiadásai alakulásáról</t>
  </si>
  <si>
    <t>Kadarkút Város Önkormányzat 2020. évi bevételei és kiadásai alakulásáról</t>
  </si>
  <si>
    <t>1. melléklet az 1/2020.(II.14.) önkormányzati rendelethez</t>
  </si>
  <si>
    <t>2. melléklet az 1/2020.(II.14.) önkormányzati rendelethez</t>
  </si>
  <si>
    <t>3. melléklet az 1/2020.(II.14.) önkormányzati rendelethez</t>
  </si>
  <si>
    <t xml:space="preserve">4. melléklet az 1/2020.(II.14.) önkormányzati rendelethez </t>
  </si>
  <si>
    <t xml:space="preserve">5.a  melléklet az 1/2020.(II.14.) önkormányzati rendelethez </t>
  </si>
  <si>
    <t xml:space="preserve">5.b  melléklet az 1/2020.(II.14.) önkormányzati rendelethez </t>
  </si>
  <si>
    <t xml:space="preserve">6. melléklet az 1/2020.(II.14.) önkormányzati rendelethez </t>
  </si>
  <si>
    <t xml:space="preserve">7.  melléklet az 1/2020.(II.14.) önkormányzati rendelethez </t>
  </si>
  <si>
    <t xml:space="preserve">8. melléklet az 1/2020.(II.14.) önkormányzati rendelethez </t>
  </si>
  <si>
    <t xml:space="preserve">9. melléklet az 1/2020.(II.14.) önkormányzati rendelethez </t>
  </si>
  <si>
    <t>10.  melléklet az 1/2020.(II.14.) önkormányzati rendelethez</t>
  </si>
  <si>
    <t xml:space="preserve">11. melléklet az 1/2020.(II.14.) önkormányzati rendelethez </t>
  </si>
  <si>
    <t xml:space="preserve">12. melléklet az 1/2020.(II.14.) önkormányzati rendelethez </t>
  </si>
  <si>
    <t xml:space="preserve">13. melléklet az 1/2020.(II.14.) önkormányzati rendelethez </t>
  </si>
  <si>
    <t>14. melléklet az 1/2020.(II.14.) önkormányzati rendelethez</t>
  </si>
  <si>
    <t xml:space="preserve">15. melléklet az 1/2020.(II.14.) önkormányzati rendelethez </t>
  </si>
  <si>
    <t>16. melléklet az 1/2020.(II.14.) önkormányzati rendelethez</t>
  </si>
  <si>
    <t xml:space="preserve">17. melléklet az 1/2020.(II.14.) önkormányzati rendelethez </t>
  </si>
  <si>
    <t>18. melléklet az 1/2020.(II.14.) önkormányzati rendelethez</t>
  </si>
  <si>
    <t xml:space="preserve">19. melléklet az 1/2020.(II.14.) önkormányzati rendelethez </t>
  </si>
  <si>
    <t>,</t>
  </si>
  <si>
    <t>20. melléklet az 1/2020.(II.14.) önkormányzati rendelethez</t>
  </si>
</sst>
</file>

<file path=xl/styles.xml><?xml version="1.0" encoding="utf-8"?>
<styleSheet xmlns="http://schemas.openxmlformats.org/spreadsheetml/2006/main">
  <numFmts count="5">
    <numFmt numFmtId="43" formatCode="_-* #,##0.00\ _F_t_-;\-* #,##0.00\ _F_t_-;_-* &quot;-&quot;??\ _F_t_-;_-@_-"/>
    <numFmt numFmtId="164" formatCode="_-* #,##0\ _F_t_-;\-* #,##0\ _F_t_-;_-* &quot;-&quot;??\ _F_t_-;_-@_-"/>
    <numFmt numFmtId="165" formatCode="#,##0.000"/>
    <numFmt numFmtId="166" formatCode="#,##0_ ;\-#,##0\ "/>
    <numFmt numFmtId="167" formatCode="_-* #,##0\ [$Ft-40E]_-;\-* #,##0\ [$Ft-40E]_-;_-* &quot;-&quot;??\ [$Ft-40E]_-;_-@_-"/>
  </numFmts>
  <fonts count="9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i/>
      <sz val="12"/>
      <name val="Times New Roman CE"/>
      <charset val="238"/>
    </font>
    <font>
      <sz val="12"/>
      <name val="Times New Roman CE"/>
      <family val="1"/>
      <charset val="238"/>
    </font>
    <font>
      <i/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i/>
      <sz val="11"/>
      <name val="Times New Roman"/>
      <family val="1"/>
      <charset val="238"/>
    </font>
    <font>
      <sz val="11"/>
      <name val="Arial CE"/>
      <charset val="238"/>
    </font>
    <font>
      <b/>
      <sz val="12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u/>
      <sz val="18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sz val="18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Times New Roman"/>
      <family val="1"/>
      <charset val="238"/>
    </font>
    <font>
      <b/>
      <sz val="14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sz val="10"/>
      <name val="Arial CE"/>
      <charset val="238"/>
    </font>
    <font>
      <b/>
      <u/>
      <sz val="14"/>
      <name val="Times New Roman"/>
      <family val="1"/>
      <charset val="238"/>
    </font>
    <font>
      <b/>
      <i/>
      <sz val="12"/>
      <name val="Times New Roman"/>
      <family val="1"/>
      <charset val="238"/>
    </font>
    <font>
      <i/>
      <sz val="10"/>
      <name val="Times New Roman"/>
      <family val="1"/>
      <charset val="238"/>
    </font>
    <font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i/>
      <sz val="12"/>
      <name val="Times New Roman"/>
      <family val="1"/>
      <charset val="238"/>
    </font>
    <font>
      <b/>
      <i/>
      <sz val="14"/>
      <name val="Times New Roman CE"/>
      <charset val="238"/>
    </font>
    <font>
      <b/>
      <sz val="12"/>
      <name val="Times New Roman CE"/>
      <charset val="238"/>
    </font>
    <font>
      <i/>
      <sz val="10"/>
      <name val="Arial CE"/>
      <charset val="238"/>
    </font>
    <font>
      <b/>
      <sz val="14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u/>
      <sz val="12"/>
      <name val="Arial"/>
      <family val="2"/>
      <charset val="238"/>
    </font>
    <font>
      <b/>
      <u/>
      <sz val="11"/>
      <name val="Arial"/>
      <family val="2"/>
      <charset val="238"/>
    </font>
    <font>
      <b/>
      <sz val="11"/>
      <name val="Arial"/>
      <family val="2"/>
      <charset val="238"/>
    </font>
    <font>
      <sz val="12"/>
      <name val="Arial CE"/>
      <charset val="238"/>
    </font>
    <font>
      <b/>
      <sz val="16"/>
      <name val="Times New Roman"/>
      <family val="1"/>
      <charset val="238"/>
    </font>
    <font>
      <i/>
      <sz val="12"/>
      <color indexed="8"/>
      <name val="Times New Roman"/>
      <family val="1"/>
      <charset val="238"/>
    </font>
    <font>
      <sz val="14"/>
      <name val="Times New Roman"/>
      <family val="1"/>
      <charset val="238"/>
    </font>
    <font>
      <b/>
      <u/>
      <sz val="12"/>
      <name val="Times New Roman"/>
      <family val="1"/>
      <charset val="238"/>
    </font>
    <font>
      <b/>
      <i/>
      <u/>
      <sz val="12"/>
      <color indexed="8"/>
      <name val="Times New Roman"/>
      <family val="1"/>
      <charset val="238"/>
    </font>
    <font>
      <b/>
      <u/>
      <sz val="12"/>
      <color indexed="8"/>
      <name val="Times New Roman"/>
      <family val="1"/>
      <charset val="238"/>
    </font>
    <font>
      <b/>
      <u/>
      <sz val="12"/>
      <name val="Times New Roman CE"/>
      <family val="1"/>
      <charset val="238"/>
    </font>
    <font>
      <sz val="72"/>
      <name val="Arial CE"/>
      <charset val="238"/>
    </font>
    <font>
      <b/>
      <sz val="18"/>
      <name val="Times New Roman CE"/>
      <family val="1"/>
      <charset val="238"/>
    </font>
    <font>
      <b/>
      <sz val="10"/>
      <name val="Arial"/>
      <family val="2"/>
    </font>
    <font>
      <b/>
      <sz val="20"/>
      <name val="Times New Roman CE"/>
      <family val="1"/>
      <charset val="238"/>
    </font>
    <font>
      <b/>
      <sz val="11"/>
      <name val="Times New Roman CE"/>
      <family val="1"/>
      <charset val="238"/>
    </font>
    <font>
      <sz val="10"/>
      <name val="Times New Roman CE"/>
      <charset val="238"/>
    </font>
    <font>
      <i/>
      <sz val="10"/>
      <name val="Times New Roman CE"/>
      <family val="1"/>
      <charset val="238"/>
    </font>
    <font>
      <sz val="10"/>
      <name val="Cambria"/>
      <family val="1"/>
      <charset val="238"/>
    </font>
    <font>
      <b/>
      <u/>
      <sz val="11"/>
      <name val="Times New Roman"/>
      <family val="1"/>
      <charset val="238"/>
    </font>
    <font>
      <b/>
      <sz val="14"/>
      <name val="Times New Roman CE"/>
      <family val="1"/>
      <charset val="238"/>
    </font>
    <font>
      <b/>
      <sz val="16"/>
      <name val="Arial"/>
      <family val="2"/>
      <charset val="238"/>
    </font>
    <font>
      <b/>
      <sz val="8"/>
      <color indexed="81"/>
      <name val="Tahoma"/>
      <family val="2"/>
      <charset val="238"/>
    </font>
    <font>
      <sz val="8"/>
      <color indexed="81"/>
      <name val="Tahoma"/>
      <family val="2"/>
      <charset val="238"/>
    </font>
    <font>
      <i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2"/>
      <color indexed="8"/>
      <name val="Times New Roman"/>
      <family val="1"/>
      <charset val="238"/>
    </font>
    <font>
      <b/>
      <sz val="12"/>
      <color indexed="8"/>
      <name val="Calibri"/>
      <family val="2"/>
      <charset val="238"/>
    </font>
    <font>
      <b/>
      <i/>
      <sz val="11"/>
      <name val="Calibri"/>
      <family val="2"/>
      <charset val="238"/>
    </font>
    <font>
      <i/>
      <sz val="11"/>
      <name val="Calibri"/>
      <family val="2"/>
      <charset val="238"/>
    </font>
    <font>
      <b/>
      <sz val="18"/>
      <color indexed="8"/>
      <name val="Times New Roman"/>
      <family val="1"/>
      <charset val="238"/>
    </font>
    <font>
      <b/>
      <sz val="12"/>
      <name val="Arial"/>
      <family val="2"/>
      <charset val="238"/>
    </font>
    <font>
      <sz val="16"/>
      <name val="Times New Roman"/>
      <family val="1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sz val="14"/>
      <name val="Arial CE"/>
      <charset val="238"/>
    </font>
    <font>
      <sz val="16"/>
      <name val="Arial CE"/>
      <charset val="238"/>
    </font>
    <font>
      <sz val="14"/>
      <color indexed="8"/>
      <name val="Times New Roman"/>
      <family val="1"/>
      <charset val="238"/>
    </font>
    <font>
      <sz val="11"/>
      <color rgb="FFFF0000"/>
      <name val="Calibri"/>
      <family val="2"/>
      <charset val="238"/>
      <scheme val="minor"/>
    </font>
    <font>
      <sz val="12"/>
      <color rgb="FFFF0000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b/>
      <i/>
      <sz val="12"/>
      <color rgb="FFFF0000"/>
      <name val="Times New Roman"/>
      <family val="1"/>
      <charset val="238"/>
    </font>
    <font>
      <sz val="11"/>
      <name val="Calibri"/>
      <family val="2"/>
      <charset val="238"/>
      <scheme val="minor"/>
    </font>
    <font>
      <sz val="12"/>
      <color rgb="FF0070C0"/>
      <name val="Times New Roman"/>
      <family val="1"/>
      <charset val="238"/>
    </font>
    <font>
      <sz val="10"/>
      <color rgb="FF0070C0"/>
      <name val="Arial CE"/>
      <charset val="238"/>
    </font>
    <font>
      <b/>
      <sz val="10"/>
      <name val="Times New Roman CE"/>
      <charset val="238"/>
    </font>
    <font>
      <sz val="10"/>
      <color rgb="FFFF0000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6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43" fontId="27" fillId="0" borderId="0" applyFont="0" applyFill="0" applyBorder="0" applyAlignment="0" applyProtection="0"/>
    <xf numFmtId="0" fontId="1" fillId="0" borderId="0"/>
    <xf numFmtId="0" fontId="35" fillId="0" borderId="0"/>
    <xf numFmtId="9" fontId="6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40">
    <xf numFmtId="0" fontId="0" fillId="0" borderId="0" xfId="0"/>
    <xf numFmtId="0" fontId="2" fillId="0" borderId="0" xfId="2" applyFont="1" applyAlignment="1">
      <alignment horizontal="right"/>
    </xf>
    <xf numFmtId="0" fontId="3" fillId="0" borderId="0" xfId="2" applyFont="1"/>
    <xf numFmtId="0" fontId="4" fillId="0" borderId="0" xfId="2" applyFont="1"/>
    <xf numFmtId="0" fontId="6" fillId="0" borderId="0" xfId="2" applyFont="1"/>
    <xf numFmtId="0" fontId="6" fillId="0" borderId="0" xfId="2" applyFont="1" applyFill="1"/>
    <xf numFmtId="0" fontId="6" fillId="0" borderId="1" xfId="2" applyFont="1" applyFill="1" applyBorder="1"/>
    <xf numFmtId="0" fontId="6" fillId="0" borderId="2" xfId="2" applyFont="1" applyFill="1" applyBorder="1"/>
    <xf numFmtId="0" fontId="6" fillId="0" borderId="3" xfId="2" applyFont="1" applyFill="1" applyBorder="1"/>
    <xf numFmtId="0" fontId="6" fillId="0" borderId="4" xfId="2" applyFont="1" applyFill="1" applyBorder="1"/>
    <xf numFmtId="0" fontId="7" fillId="0" borderId="0" xfId="2" applyFont="1" applyFill="1"/>
    <xf numFmtId="0" fontId="7" fillId="0" borderId="5" xfId="2" applyFont="1" applyFill="1" applyBorder="1"/>
    <xf numFmtId="0" fontId="6" fillId="0" borderId="6" xfId="2" applyFont="1" applyFill="1" applyBorder="1"/>
    <xf numFmtId="0" fontId="7" fillId="0" borderId="7" xfId="2" applyFont="1" applyFill="1" applyBorder="1"/>
    <xf numFmtId="0" fontId="6" fillId="0" borderId="1" xfId="2" applyFont="1" applyBorder="1"/>
    <xf numFmtId="0" fontId="6" fillId="0" borderId="3" xfId="2" applyFont="1" applyBorder="1"/>
    <xf numFmtId="0" fontId="6" fillId="0" borderId="4" xfId="2" applyFont="1" applyBorder="1"/>
    <xf numFmtId="0" fontId="7" fillId="0" borderId="5" xfId="2" applyFont="1" applyBorder="1"/>
    <xf numFmtId="0" fontId="7" fillId="0" borderId="7" xfId="2" applyFont="1" applyBorder="1"/>
    <xf numFmtId="0" fontId="7" fillId="0" borderId="0" xfId="2" applyFont="1"/>
    <xf numFmtId="0" fontId="8" fillId="0" borderId="0" xfId="2" applyFont="1" applyAlignment="1">
      <alignment wrapText="1"/>
    </xf>
    <xf numFmtId="0" fontId="9" fillId="0" borderId="0" xfId="2" applyFont="1"/>
    <xf numFmtId="0" fontId="11" fillId="0" borderId="0" xfId="2" applyFont="1" applyFill="1" applyBorder="1" applyAlignment="1">
      <alignment horizontal="center" vertical="center"/>
    </xf>
    <xf numFmtId="0" fontId="11" fillId="0" borderId="0" xfId="2" applyFont="1" applyFill="1" applyBorder="1" applyAlignment="1">
      <alignment vertical="center"/>
    </xf>
    <xf numFmtId="0" fontId="11" fillId="0" borderId="0" xfId="2" applyFont="1" applyFill="1" applyBorder="1" applyAlignment="1">
      <alignment horizontal="left"/>
    </xf>
    <xf numFmtId="0" fontId="11" fillId="0" borderId="0" xfId="2" applyFont="1" applyFill="1" applyBorder="1" applyAlignment="1"/>
    <xf numFmtId="3" fontId="11" fillId="0" borderId="0" xfId="2" applyNumberFormat="1" applyFont="1" applyFill="1" applyBorder="1" applyAlignment="1"/>
    <xf numFmtId="3" fontId="12" fillId="0" borderId="0" xfId="2" applyNumberFormat="1" applyFont="1"/>
    <xf numFmtId="3" fontId="12" fillId="0" borderId="0" xfId="2" applyNumberFormat="1" applyFont="1" applyFill="1" applyBorder="1" applyAlignment="1">
      <alignment horizontal="center" vertical="center" wrapText="1"/>
    </xf>
    <xf numFmtId="3" fontId="12" fillId="0" borderId="0" xfId="2" applyNumberFormat="1" applyFont="1" applyFill="1" applyBorder="1" applyAlignment="1">
      <alignment vertical="center"/>
    </xf>
    <xf numFmtId="3" fontId="11" fillId="0" borderId="0" xfId="2" applyNumberFormat="1" applyFont="1" applyFill="1" applyBorder="1" applyAlignment="1">
      <alignment horizontal="center" vertical="center" textRotation="90" wrapText="1"/>
    </xf>
    <xf numFmtId="3" fontId="11" fillId="0" borderId="0" xfId="2" applyNumberFormat="1" applyFont="1" applyBorder="1" applyAlignment="1">
      <alignment vertical="center"/>
    </xf>
    <xf numFmtId="3" fontId="12" fillId="0" borderId="0" xfId="2" applyNumberFormat="1" applyFont="1" applyBorder="1"/>
    <xf numFmtId="3" fontId="11" fillId="0" borderId="0" xfId="2" applyNumberFormat="1" applyFont="1" applyFill="1" applyBorder="1" applyAlignment="1">
      <alignment vertical="center" wrapText="1"/>
    </xf>
    <xf numFmtId="0" fontId="12" fillId="0" borderId="0" xfId="2" applyFont="1"/>
    <xf numFmtId="0" fontId="2" fillId="0" borderId="0" xfId="2" applyFont="1" applyAlignment="1">
      <alignment horizontal="right" vertical="center"/>
    </xf>
    <xf numFmtId="0" fontId="2" fillId="0" borderId="0" xfId="2" applyFont="1" applyAlignment="1">
      <alignment vertical="center"/>
    </xf>
    <xf numFmtId="0" fontId="1" fillId="0" borderId="0" xfId="2"/>
    <xf numFmtId="0" fontId="13" fillId="0" borderId="0" xfId="2" applyFont="1" applyAlignment="1">
      <alignment vertical="center"/>
    </xf>
    <xf numFmtId="0" fontId="1" fillId="0" borderId="0" xfId="2" applyAlignment="1">
      <alignment vertical="center"/>
    </xf>
    <xf numFmtId="0" fontId="14" fillId="0" borderId="0" xfId="2" applyFont="1" applyAlignment="1">
      <alignment vertical="center"/>
    </xf>
    <xf numFmtId="3" fontId="14" fillId="0" borderId="0" xfId="2" applyNumberFormat="1" applyFont="1" applyAlignment="1">
      <alignment horizontal="right" vertical="center"/>
    </xf>
    <xf numFmtId="3" fontId="15" fillId="0" borderId="0" xfId="2" applyNumberFormat="1" applyFont="1" applyAlignment="1">
      <alignment horizontal="right" vertical="center"/>
    </xf>
    <xf numFmtId="3" fontId="15" fillId="0" borderId="0" xfId="2" applyNumberFormat="1" applyFont="1" applyAlignment="1">
      <alignment horizontal="center" vertical="center"/>
    </xf>
    <xf numFmtId="3" fontId="1" fillId="0" borderId="0" xfId="2" applyNumberFormat="1" applyAlignment="1">
      <alignment vertical="center"/>
    </xf>
    <xf numFmtId="0" fontId="1" fillId="0" borderId="0" xfId="2" applyAlignment="1">
      <alignment horizontal="center" vertical="center"/>
    </xf>
    <xf numFmtId="0" fontId="20" fillId="0" borderId="0" xfId="2" applyFont="1" applyFill="1"/>
    <xf numFmtId="0" fontId="16" fillId="0" borderId="0" xfId="2" applyFont="1" applyFill="1" applyBorder="1" applyAlignment="1">
      <alignment horizontal="center"/>
    </xf>
    <xf numFmtId="0" fontId="16" fillId="0" borderId="0" xfId="2" applyFont="1" applyFill="1" applyAlignment="1">
      <alignment horizontal="center"/>
    </xf>
    <xf numFmtId="0" fontId="16" fillId="0" borderId="0" xfId="2" applyFont="1" applyFill="1"/>
    <xf numFmtId="0" fontId="10" fillId="2" borderId="9" xfId="2" applyFont="1" applyFill="1" applyBorder="1" applyAlignment="1"/>
    <xf numFmtId="0" fontId="22" fillId="0" borderId="0" xfId="2" applyFont="1" applyFill="1"/>
    <xf numFmtId="0" fontId="10" fillId="2" borderId="9" xfId="2" applyFont="1" applyFill="1" applyBorder="1"/>
    <xf numFmtId="0" fontId="10" fillId="0" borderId="0" xfId="2" applyFont="1" applyFill="1" applyAlignment="1">
      <alignment horizontal="center"/>
    </xf>
    <xf numFmtId="0" fontId="19" fillId="0" borderId="0" xfId="2" applyFont="1" applyFill="1" applyAlignment="1">
      <alignment horizontal="right"/>
    </xf>
    <xf numFmtId="0" fontId="10" fillId="3" borderId="9" xfId="2" applyFont="1" applyFill="1" applyBorder="1"/>
    <xf numFmtId="0" fontId="10" fillId="0" borderId="9" xfId="2" applyFont="1" applyFill="1" applyBorder="1"/>
    <xf numFmtId="0" fontId="10" fillId="0" borderId="0" xfId="2" applyFont="1" applyFill="1"/>
    <xf numFmtId="3" fontId="10" fillId="0" borderId="0" xfId="2" applyNumberFormat="1" applyFont="1" applyFill="1"/>
    <xf numFmtId="0" fontId="19" fillId="0" borderId="0" xfId="2" applyFont="1" applyFill="1"/>
    <xf numFmtId="0" fontId="19" fillId="0" borderId="0" xfId="2" applyFont="1" applyFill="1" applyAlignment="1"/>
    <xf numFmtId="3" fontId="19" fillId="0" borderId="0" xfId="2" applyNumberFormat="1" applyFont="1" applyFill="1" applyAlignment="1"/>
    <xf numFmtId="0" fontId="26" fillId="0" borderId="0" xfId="2" applyFont="1" applyFill="1"/>
    <xf numFmtId="3" fontId="10" fillId="0" borderId="0" xfId="2" applyNumberFormat="1" applyFont="1" applyFill="1" applyAlignment="1">
      <alignment horizontal="right"/>
    </xf>
    <xf numFmtId="3" fontId="19" fillId="0" borderId="0" xfId="2" applyNumberFormat="1" applyFont="1" applyFill="1" applyAlignment="1">
      <alignment horizontal="right"/>
    </xf>
    <xf numFmtId="3" fontId="19" fillId="0" borderId="0" xfId="2" applyNumberFormat="1" applyFont="1" applyFill="1"/>
    <xf numFmtId="0" fontId="19" fillId="0" borderId="0" xfId="2" applyFont="1" applyFill="1" applyAlignment="1">
      <alignment horizontal="left"/>
    </xf>
    <xf numFmtId="0" fontId="19" fillId="0" borderId="0" xfId="2" applyFont="1" applyAlignment="1"/>
    <xf numFmtId="0" fontId="19" fillId="0" borderId="0" xfId="2" applyFont="1" applyAlignment="1">
      <alignment horizontal="center" vertical="center"/>
    </xf>
    <xf numFmtId="0" fontId="19" fillId="0" borderId="0" xfId="2" applyFont="1" applyAlignment="1">
      <alignment horizontal="center"/>
    </xf>
    <xf numFmtId="0" fontId="10" fillId="0" borderId="0" xfId="2" applyFont="1" applyAlignment="1">
      <alignment wrapText="1"/>
    </xf>
    <xf numFmtId="3" fontId="19" fillId="0" borderId="0" xfId="2" applyNumberFormat="1" applyFont="1" applyAlignment="1">
      <alignment horizontal="center"/>
    </xf>
    <xf numFmtId="3" fontId="19" fillId="0" borderId="0" xfId="2" applyNumberFormat="1" applyFont="1"/>
    <xf numFmtId="0" fontId="19" fillId="0" borderId="0" xfId="2" applyFont="1"/>
    <xf numFmtId="0" fontId="10" fillId="0" borderId="0" xfId="2" applyFont="1" applyAlignment="1">
      <alignment vertical="center" wrapText="1"/>
    </xf>
    <xf numFmtId="0" fontId="10" fillId="0" borderId="0" xfId="2" applyFont="1" applyAlignment="1">
      <alignment horizontal="center" vertical="center" wrapText="1"/>
    </xf>
    <xf numFmtId="0" fontId="23" fillId="0" borderId="0" xfId="2" applyFont="1" applyAlignment="1">
      <alignment horizontal="center" vertical="center"/>
    </xf>
    <xf numFmtId="0" fontId="10" fillId="2" borderId="9" xfId="2" applyFont="1" applyFill="1" applyBorder="1" applyAlignment="1">
      <alignment horizontal="center" vertical="center"/>
    </xf>
    <xf numFmtId="0" fontId="10" fillId="0" borderId="0" xfId="2" applyFont="1" applyAlignment="1">
      <alignment horizontal="center" vertical="center"/>
    </xf>
    <xf numFmtId="0" fontId="19" fillId="0" borderId="9" xfId="2" applyFont="1" applyBorder="1"/>
    <xf numFmtId="0" fontId="19" fillId="0" borderId="10" xfId="2" applyFont="1" applyBorder="1" applyAlignment="1">
      <alignment horizontal="center"/>
    </xf>
    <xf numFmtId="0" fontId="19" fillId="0" borderId="9" xfId="2" applyFont="1" applyFill="1" applyBorder="1" applyAlignment="1">
      <alignment horizontal="left" vertical="center"/>
    </xf>
    <xf numFmtId="0" fontId="10" fillId="2" borderId="10" xfId="2" applyFont="1" applyFill="1" applyBorder="1" applyAlignment="1">
      <alignment vertical="center"/>
    </xf>
    <xf numFmtId="0" fontId="10" fillId="2" borderId="11" xfId="2" applyFont="1" applyFill="1" applyBorder="1" applyAlignment="1">
      <alignment vertical="center"/>
    </xf>
    <xf numFmtId="0" fontId="1" fillId="0" borderId="0" xfId="2" applyAlignment="1">
      <alignment horizontal="center"/>
    </xf>
    <xf numFmtId="0" fontId="10" fillId="0" borderId="0" xfId="2" applyFont="1"/>
    <xf numFmtId="0" fontId="20" fillId="0" borderId="0" xfId="2" applyFont="1" applyAlignment="1">
      <alignment vertical="center"/>
    </xf>
    <xf numFmtId="0" fontId="20" fillId="0" borderId="0" xfId="2" applyFont="1"/>
    <xf numFmtId="0" fontId="25" fillId="0" borderId="0" xfId="2" applyFont="1" applyAlignment="1">
      <alignment vertical="center" wrapText="1"/>
    </xf>
    <xf numFmtId="3" fontId="19" fillId="0" borderId="0" xfId="2" applyNumberFormat="1" applyFont="1" applyAlignment="1">
      <alignment vertical="center"/>
    </xf>
    <xf numFmtId="3" fontId="20" fillId="0" borderId="0" xfId="2" applyNumberFormat="1" applyFont="1" applyAlignment="1">
      <alignment vertical="center"/>
    </xf>
    <xf numFmtId="0" fontId="19" fillId="0" borderId="0" xfId="2" applyFont="1" applyAlignment="1">
      <alignment vertical="center" wrapText="1"/>
    </xf>
    <xf numFmtId="0" fontId="16" fillId="0" borderId="0" xfId="2" applyFont="1"/>
    <xf numFmtId="0" fontId="32" fillId="0" borderId="0" xfId="2" applyFont="1" applyAlignment="1">
      <alignment horizontal="right"/>
    </xf>
    <xf numFmtId="0" fontId="34" fillId="0" borderId="0" xfId="2" applyFont="1"/>
    <xf numFmtId="0" fontId="35" fillId="0" borderId="0" xfId="2" applyFont="1" applyAlignment="1">
      <alignment horizontal="right"/>
    </xf>
    <xf numFmtId="0" fontId="33" fillId="0" borderId="12" xfId="2" applyFont="1" applyBorder="1" applyAlignment="1">
      <alignment horizontal="center" vertical="center" wrapText="1"/>
    </xf>
    <xf numFmtId="0" fontId="33" fillId="0" borderId="13" xfId="2" applyFont="1" applyBorder="1" applyAlignment="1">
      <alignment horizontal="center" vertical="center" wrapText="1"/>
    </xf>
    <xf numFmtId="0" fontId="33" fillId="0" borderId="14" xfId="2" applyFont="1" applyBorder="1" applyAlignment="1">
      <alignment horizontal="center" vertical="center" wrapText="1"/>
    </xf>
    <xf numFmtId="0" fontId="33" fillId="0" borderId="15" xfId="2" applyFont="1" applyBorder="1" applyAlignment="1">
      <alignment horizontal="center" vertical="center" wrapText="1"/>
    </xf>
    <xf numFmtId="0" fontId="36" fillId="0" borderId="16" xfId="2" applyFont="1" applyBorder="1" applyAlignment="1">
      <alignment horizontal="center" vertical="center" wrapText="1"/>
    </xf>
    <xf numFmtId="0" fontId="39" fillId="0" borderId="0" xfId="2" applyFont="1"/>
    <xf numFmtId="0" fontId="19" fillId="0" borderId="0" xfId="2" applyFont="1" applyAlignment="1">
      <alignment horizontal="right"/>
    </xf>
    <xf numFmtId="0" fontId="19" fillId="0" borderId="0" xfId="2" applyFont="1" applyAlignment="1">
      <alignment vertical="center"/>
    </xf>
    <xf numFmtId="0" fontId="39" fillId="0" borderId="0" xfId="2" applyFont="1" applyAlignment="1">
      <alignment vertical="center"/>
    </xf>
    <xf numFmtId="0" fontId="10" fillId="0" borderId="0" xfId="2" applyFont="1" applyAlignment="1">
      <alignment vertical="center"/>
    </xf>
    <xf numFmtId="0" fontId="19" fillId="0" borderId="0" xfId="2" applyFont="1" applyAlignment="1">
      <alignment horizontal="right" vertical="center"/>
    </xf>
    <xf numFmtId="0" fontId="20" fillId="0" borderId="0" xfId="3" applyFont="1" applyFill="1"/>
    <xf numFmtId="165" fontId="20" fillId="0" borderId="0" xfId="3" applyNumberFormat="1" applyFont="1" applyFill="1"/>
    <xf numFmtId="0" fontId="21" fillId="0" borderId="0" xfId="3" applyFont="1" applyFill="1" applyAlignment="1">
      <alignment horizontal="center" vertical="center"/>
    </xf>
    <xf numFmtId="0" fontId="19" fillId="0" borderId="0" xfId="3" applyFont="1" applyFill="1" applyBorder="1"/>
    <xf numFmtId="165" fontId="19" fillId="0" borderId="0" xfId="3" applyNumberFormat="1" applyFont="1" applyFill="1" applyBorder="1"/>
    <xf numFmtId="0" fontId="19" fillId="0" borderId="0" xfId="3" applyFont="1" applyFill="1" applyAlignment="1">
      <alignment vertical="center"/>
    </xf>
    <xf numFmtId="0" fontId="19" fillId="0" borderId="0" xfId="3" applyFont="1" applyFill="1" applyAlignment="1">
      <alignment horizontal="right" vertical="center"/>
    </xf>
    <xf numFmtId="0" fontId="19" fillId="0" borderId="0" xfId="3" applyFont="1" applyFill="1" applyAlignment="1">
      <alignment horizontal="right"/>
    </xf>
    <xf numFmtId="0" fontId="19" fillId="0" borderId="9" xfId="3" applyFont="1" applyFill="1" applyBorder="1" applyAlignment="1">
      <alignment horizontal="center" vertical="center"/>
    </xf>
    <xf numFmtId="0" fontId="10" fillId="0" borderId="0" xfId="3" applyFont="1" applyFill="1" applyBorder="1" applyAlignment="1">
      <alignment horizontal="center" vertical="center"/>
    </xf>
    <xf numFmtId="0" fontId="20" fillId="0" borderId="0" xfId="3" applyFont="1" applyFill="1" applyAlignment="1">
      <alignment horizontal="center" vertical="center"/>
    </xf>
    <xf numFmtId="165" fontId="20" fillId="0" borderId="0" xfId="3" applyNumberFormat="1" applyFont="1" applyFill="1" applyAlignment="1">
      <alignment horizontal="center" vertical="center"/>
    </xf>
    <xf numFmtId="0" fontId="19" fillId="0" borderId="9" xfId="3" applyFont="1" applyFill="1" applyBorder="1" applyAlignment="1">
      <alignment vertical="center"/>
    </xf>
    <xf numFmtId="3" fontId="10" fillId="0" borderId="0" xfId="3" applyNumberFormat="1" applyFont="1" applyFill="1" applyBorder="1"/>
    <xf numFmtId="3" fontId="20" fillId="0" borderId="0" xfId="3" applyNumberFormat="1" applyFont="1" applyFill="1"/>
    <xf numFmtId="0" fontId="10" fillId="0" borderId="9" xfId="3" applyFont="1" applyFill="1" applyBorder="1" applyAlignment="1">
      <alignment vertical="center"/>
    </xf>
    <xf numFmtId="0" fontId="10" fillId="0" borderId="10" xfId="3" applyFont="1" applyFill="1" applyBorder="1" applyAlignment="1">
      <alignment vertical="center"/>
    </xf>
    <xf numFmtId="0" fontId="16" fillId="0" borderId="0" xfId="3" applyFont="1" applyFill="1"/>
    <xf numFmtId="165" fontId="16" fillId="0" borderId="0" xfId="3" applyNumberFormat="1" applyFont="1" applyFill="1"/>
    <xf numFmtId="0" fontId="10" fillId="0" borderId="0" xfId="3" applyFont="1" applyFill="1" applyAlignment="1">
      <alignment vertical="center"/>
    </xf>
    <xf numFmtId="0" fontId="10" fillId="0" borderId="0" xfId="3" applyFont="1" applyFill="1"/>
    <xf numFmtId="0" fontId="0" fillId="0" borderId="0" xfId="0" applyAlignment="1">
      <alignment horizontal="right"/>
    </xf>
    <xf numFmtId="0" fontId="41" fillId="0" borderId="0" xfId="0" applyFont="1" applyAlignment="1">
      <alignment horizontal="right"/>
    </xf>
    <xf numFmtId="0" fontId="25" fillId="0" borderId="0" xfId="2" applyFont="1" applyAlignment="1">
      <alignment vertical="center"/>
    </xf>
    <xf numFmtId="3" fontId="39" fillId="0" borderId="0" xfId="2" applyNumberFormat="1" applyFont="1" applyAlignment="1">
      <alignment vertical="center"/>
    </xf>
    <xf numFmtId="0" fontId="10" fillId="0" borderId="0" xfId="2" applyFont="1" applyFill="1" applyBorder="1" applyAlignment="1">
      <alignment vertical="center"/>
    </xf>
    <xf numFmtId="0" fontId="10" fillId="2" borderId="9" xfId="2" applyFont="1" applyFill="1" applyBorder="1" applyAlignment="1">
      <alignment horizontal="right" vertical="center"/>
    </xf>
    <xf numFmtId="0" fontId="10" fillId="0" borderId="17" xfId="2" applyFont="1" applyFill="1" applyBorder="1" applyAlignment="1">
      <alignment horizontal="left" vertical="center"/>
    </xf>
    <xf numFmtId="0" fontId="10" fillId="2" borderId="9" xfId="2" applyFont="1" applyFill="1" applyBorder="1" applyAlignment="1">
      <alignment horizontal="left" vertical="center"/>
    </xf>
    <xf numFmtId="0" fontId="39" fillId="0" borderId="18" xfId="2" applyFont="1" applyBorder="1" applyAlignment="1">
      <alignment vertical="center"/>
    </xf>
    <xf numFmtId="0" fontId="10" fillId="2" borderId="9" xfId="2" applyFont="1" applyFill="1" applyBorder="1" applyAlignment="1">
      <alignment vertical="center" wrapText="1"/>
    </xf>
    <xf numFmtId="3" fontId="19" fillId="0" borderId="0" xfId="2" applyNumberFormat="1" applyFont="1" applyAlignment="1">
      <alignment horizontal="right"/>
    </xf>
    <xf numFmtId="0" fontId="42" fillId="0" borderId="0" xfId="2" applyFont="1" applyAlignment="1">
      <alignment wrapText="1"/>
    </xf>
    <xf numFmtId="0" fontId="42" fillId="0" borderId="0" xfId="2" applyFont="1"/>
    <xf numFmtId="3" fontId="10" fillId="0" borderId="0" xfId="2" applyNumberFormat="1" applyFont="1" applyAlignment="1"/>
    <xf numFmtId="3" fontId="10" fillId="0" borderId="0" xfId="2" applyNumberFormat="1" applyFont="1" applyAlignment="1">
      <alignment horizontal="right"/>
    </xf>
    <xf numFmtId="0" fontId="19" fillId="0" borderId="0" xfId="2" applyFont="1" applyAlignment="1">
      <alignment wrapText="1"/>
    </xf>
    <xf numFmtId="0" fontId="20" fillId="0" borderId="0" xfId="2" applyFont="1" applyAlignment="1"/>
    <xf numFmtId="0" fontId="10" fillId="2" borderId="9" xfId="2" applyFont="1" applyFill="1" applyBorder="1" applyAlignment="1">
      <alignment wrapText="1"/>
    </xf>
    <xf numFmtId="0" fontId="10" fillId="2" borderId="9" xfId="2" applyFont="1" applyFill="1" applyBorder="1" applyAlignment="1">
      <alignment horizontal="right"/>
    </xf>
    <xf numFmtId="0" fontId="10" fillId="0" borderId="0" xfId="2" applyFont="1" applyAlignment="1"/>
    <xf numFmtId="0" fontId="19" fillId="0" borderId="9" xfId="2" applyFont="1" applyBorder="1" applyAlignment="1">
      <alignment vertical="center"/>
    </xf>
    <xf numFmtId="3" fontId="19" fillId="0" borderId="0" xfId="2" applyNumberFormat="1" applyFont="1" applyAlignment="1"/>
    <xf numFmtId="0" fontId="19" fillId="0" borderId="9" xfId="2" applyFont="1" applyBorder="1" applyAlignment="1"/>
    <xf numFmtId="0" fontId="10" fillId="0" borderId="9" xfId="2" applyFont="1" applyBorder="1" applyAlignment="1"/>
    <xf numFmtId="0" fontId="25" fillId="0" borderId="0" xfId="2" applyFont="1" applyAlignment="1"/>
    <xf numFmtId="0" fontId="16" fillId="0" borderId="0" xfId="2" applyFont="1" applyAlignment="1"/>
    <xf numFmtId="3" fontId="19" fillId="0" borderId="0" xfId="2" applyNumberFormat="1" applyFont="1" applyBorder="1" applyAlignment="1"/>
    <xf numFmtId="0" fontId="19" fillId="0" borderId="0" xfId="2" applyFont="1" applyBorder="1" applyAlignment="1"/>
    <xf numFmtId="0" fontId="20" fillId="0" borderId="0" xfId="2" applyFont="1" applyBorder="1" applyAlignment="1"/>
    <xf numFmtId="0" fontId="22" fillId="0" borderId="0" xfId="2" applyFont="1" applyAlignment="1"/>
    <xf numFmtId="0" fontId="19" fillId="0" borderId="9" xfId="2" applyFont="1" applyBorder="1" applyAlignment="1">
      <alignment wrapText="1"/>
    </xf>
    <xf numFmtId="3" fontId="10" fillId="0" borderId="0" xfId="2" applyNumberFormat="1" applyFont="1"/>
    <xf numFmtId="3" fontId="1" fillId="0" borderId="0" xfId="2" applyNumberFormat="1"/>
    <xf numFmtId="0" fontId="23" fillId="0" borderId="0" xfId="2" applyFont="1" applyAlignment="1">
      <alignment horizontal="center"/>
    </xf>
    <xf numFmtId="0" fontId="47" fillId="0" borderId="0" xfId="2" applyFont="1" applyAlignment="1">
      <alignment vertical="center"/>
    </xf>
    <xf numFmtId="0" fontId="49" fillId="0" borderId="0" xfId="2" applyFont="1" applyAlignment="1">
      <alignment horizontal="left" vertical="center"/>
    </xf>
    <xf numFmtId="0" fontId="50" fillId="0" borderId="0" xfId="2" applyFont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6" fillId="0" borderId="9" xfId="2" applyFont="1" applyBorder="1" applyAlignment="1">
      <alignment horizontal="center" vertical="center"/>
    </xf>
    <xf numFmtId="0" fontId="5" fillId="0" borderId="0" xfId="2" applyFont="1" applyAlignment="1">
      <alignment horizontal="left" vertical="center"/>
    </xf>
    <xf numFmtId="0" fontId="5" fillId="0" borderId="0" xfId="2" applyFont="1" applyBorder="1" applyAlignment="1">
      <alignment horizontal="left" vertical="center"/>
    </xf>
    <xf numFmtId="0" fontId="6" fillId="0" borderId="0" xfId="2" applyFont="1" applyAlignment="1">
      <alignment horizontal="center" vertical="center"/>
    </xf>
    <xf numFmtId="0" fontId="6" fillId="0" borderId="9" xfId="2" applyFont="1" applyBorder="1" applyAlignment="1">
      <alignment vertical="center"/>
    </xf>
    <xf numFmtId="0" fontId="46" fillId="0" borderId="0" xfId="2" applyFont="1" applyAlignment="1">
      <alignment horizontal="center" vertical="center"/>
    </xf>
    <xf numFmtId="0" fontId="46" fillId="0" borderId="0" xfId="2" applyFont="1" applyBorder="1" applyAlignment="1">
      <alignment horizontal="center" vertical="center"/>
    </xf>
    <xf numFmtId="0" fontId="51" fillId="0" borderId="17" xfId="2" applyFont="1" applyBorder="1" applyAlignment="1">
      <alignment horizontal="left" vertical="center"/>
    </xf>
    <xf numFmtId="0" fontId="6" fillId="0" borderId="0" xfId="2" applyFont="1" applyAlignment="1">
      <alignment vertical="center"/>
    </xf>
    <xf numFmtId="0" fontId="7" fillId="0" borderId="9" xfId="2" applyFont="1" applyBorder="1" applyAlignment="1">
      <alignment horizontal="left" vertical="center"/>
    </xf>
    <xf numFmtId="0" fontId="6" fillId="0" borderId="18" xfId="2" applyFont="1" applyBorder="1" applyAlignment="1">
      <alignment horizontal="center" vertical="center"/>
    </xf>
    <xf numFmtId="0" fontId="7" fillId="0" borderId="18" xfId="2" applyFont="1" applyBorder="1" applyAlignment="1">
      <alignment horizontal="center" vertical="center"/>
    </xf>
    <xf numFmtId="0" fontId="7" fillId="0" borderId="9" xfId="2" applyFont="1" applyBorder="1" applyAlignment="1">
      <alignment horizontal="center" vertical="center"/>
    </xf>
    <xf numFmtId="0" fontId="6" fillId="0" borderId="18" xfId="2" applyFont="1" applyBorder="1" applyAlignment="1">
      <alignment vertical="center"/>
    </xf>
    <xf numFmtId="0" fontId="7" fillId="0" borderId="18" xfId="2" applyFont="1" applyBorder="1" applyAlignment="1">
      <alignment vertical="center"/>
    </xf>
    <xf numFmtId="0" fontId="6" fillId="0" borderId="0" xfId="2" applyFont="1" applyFill="1" applyBorder="1" applyAlignment="1">
      <alignment vertical="center"/>
    </xf>
    <xf numFmtId="0" fontId="7" fillId="0" borderId="18" xfId="2" applyFont="1" applyBorder="1" applyAlignment="1">
      <alignment vertical="center" wrapText="1"/>
    </xf>
    <xf numFmtId="0" fontId="6" fillId="0" borderId="18" xfId="2" applyFont="1" applyBorder="1" applyAlignment="1">
      <alignment vertical="center" wrapText="1"/>
    </xf>
    <xf numFmtId="0" fontId="2" fillId="0" borderId="0" xfId="2" applyFont="1" applyAlignment="1"/>
    <xf numFmtId="0" fontId="54" fillId="0" borderId="0" xfId="2" applyFont="1"/>
    <xf numFmtId="0" fontId="24" fillId="0" borderId="0" xfId="2" applyFont="1" applyBorder="1" applyAlignment="1">
      <alignment vertical="center" wrapText="1"/>
    </xf>
    <xf numFmtId="0" fontId="55" fillId="0" borderId="0" xfId="2" applyFont="1" applyBorder="1" applyAlignment="1">
      <alignment horizontal="center" vertical="center" wrapText="1"/>
    </xf>
    <xf numFmtId="3" fontId="16" fillId="0" borderId="19" xfId="2" applyNumberFormat="1" applyFont="1" applyBorder="1" applyAlignment="1">
      <alignment horizontal="center" vertical="center" wrapText="1"/>
    </xf>
    <xf numFmtId="0" fontId="20" fillId="0" borderId="0" xfId="2" applyFont="1" applyBorder="1"/>
    <xf numFmtId="0" fontId="20" fillId="0" borderId="2" xfId="2" applyFont="1" applyBorder="1" applyAlignment="1">
      <alignment horizontal="left" vertical="center"/>
    </xf>
    <xf numFmtId="0" fontId="16" fillId="0" borderId="0" xfId="2" applyFont="1" applyBorder="1"/>
    <xf numFmtId="0" fontId="54" fillId="0" borderId="0" xfId="2" applyFont="1" applyBorder="1"/>
    <xf numFmtId="0" fontId="16" fillId="2" borderId="7" xfId="2" applyFont="1" applyFill="1" applyBorder="1" applyAlignment="1">
      <alignment horizontal="left" vertical="center"/>
    </xf>
    <xf numFmtId="0" fontId="16" fillId="0" borderId="0" xfId="2" applyFont="1" applyBorder="1" applyAlignment="1">
      <alignment horizontal="left"/>
    </xf>
    <xf numFmtId="0" fontId="20" fillId="0" borderId="0" xfId="2" applyFont="1" applyBorder="1" applyAlignment="1">
      <alignment horizontal="left"/>
    </xf>
    <xf numFmtId="0" fontId="26" fillId="0" borderId="0" xfId="2" applyFont="1" applyBorder="1" applyAlignment="1">
      <alignment horizontal="right"/>
    </xf>
    <xf numFmtId="0" fontId="16" fillId="0" borderId="0" xfId="2" applyFont="1" applyFill="1" applyBorder="1" applyAlignment="1">
      <alignment horizontal="center" vertical="center" wrapText="1"/>
    </xf>
    <xf numFmtId="0" fontId="20" fillId="0" borderId="0" xfId="2" applyFont="1" applyBorder="1" applyAlignment="1">
      <alignment horizontal="right"/>
    </xf>
    <xf numFmtId="9" fontId="20" fillId="0" borderId="0" xfId="5" applyFont="1" applyBorder="1"/>
    <xf numFmtId="0" fontId="32" fillId="0" borderId="0" xfId="2" applyFont="1" applyAlignment="1">
      <alignment horizontal="right" vertical="center"/>
    </xf>
    <xf numFmtId="0" fontId="5" fillId="0" borderId="0" xfId="2" applyFont="1" applyAlignment="1">
      <alignment horizontal="center" vertical="center"/>
    </xf>
    <xf numFmtId="0" fontId="3" fillId="0" borderId="0" xfId="2" applyFont="1" applyAlignment="1">
      <alignment vertical="center"/>
    </xf>
    <xf numFmtId="0" fontId="7" fillId="0" borderId="0" xfId="2" applyFont="1" applyAlignment="1">
      <alignment horizontal="left" vertical="center"/>
    </xf>
    <xf numFmtId="0" fontId="16" fillId="0" borderId="0" xfId="2" applyFont="1" applyAlignment="1">
      <alignment horizontal="left" vertical="center" wrapText="1"/>
    </xf>
    <xf numFmtId="0" fontId="5" fillId="0" borderId="0" xfId="2" applyNumberFormat="1" applyFont="1" applyAlignment="1">
      <alignment horizontal="left" vertical="center"/>
    </xf>
    <xf numFmtId="0" fontId="41" fillId="0" borderId="0" xfId="0" applyFont="1" applyAlignment="1">
      <alignment horizontal="center"/>
    </xf>
    <xf numFmtId="0" fontId="1" fillId="0" borderId="0" xfId="2" applyBorder="1"/>
    <xf numFmtId="3" fontId="1" fillId="0" borderId="0" xfId="2" applyNumberFormat="1" applyBorder="1"/>
    <xf numFmtId="0" fontId="23" fillId="0" borderId="0" xfId="2" applyFont="1" applyBorder="1"/>
    <xf numFmtId="3" fontId="23" fillId="0" borderId="0" xfId="2" applyNumberFormat="1" applyFont="1" applyBorder="1"/>
    <xf numFmtId="0" fontId="0" fillId="0" borderId="1" xfId="0" applyBorder="1"/>
    <xf numFmtId="0" fontId="0" fillId="0" borderId="3" xfId="0" applyBorder="1" applyAlignment="1">
      <alignment wrapText="1"/>
    </xf>
    <xf numFmtId="0" fontId="0" fillId="0" borderId="3" xfId="0" applyBorder="1"/>
    <xf numFmtId="0" fontId="0" fillId="0" borderId="20" xfId="0" applyBorder="1"/>
    <xf numFmtId="0" fontId="0" fillId="0" borderId="5" xfId="0" applyBorder="1"/>
    <xf numFmtId="0" fontId="20" fillId="0" borderId="21" xfId="2" applyFont="1" applyBorder="1" applyAlignment="1">
      <alignment horizontal="left" vertical="center"/>
    </xf>
    <xf numFmtId="0" fontId="20" fillId="0" borderId="22" xfId="2" applyFont="1" applyBorder="1" applyAlignment="1">
      <alignment horizontal="left" vertical="center"/>
    </xf>
    <xf numFmtId="0" fontId="24" fillId="0" borderId="0" xfId="2" applyFont="1" applyBorder="1" applyAlignment="1">
      <alignment horizontal="center" vertical="center" wrapText="1"/>
    </xf>
    <xf numFmtId="3" fontId="20" fillId="0" borderId="0" xfId="2" applyNumberFormat="1" applyFont="1" applyBorder="1" applyAlignment="1">
      <alignment horizontal="right"/>
    </xf>
    <xf numFmtId="0" fontId="20" fillId="0" borderId="4" xfId="2" applyFont="1" applyBorder="1" applyAlignment="1">
      <alignment horizontal="left" vertical="center"/>
    </xf>
    <xf numFmtId="0" fontId="20" fillId="0" borderId="3" xfId="2" applyFont="1" applyBorder="1" applyAlignment="1">
      <alignment horizontal="left" vertical="center"/>
    </xf>
    <xf numFmtId="0" fontId="5" fillId="0" borderId="0" xfId="2" applyFont="1" applyAlignment="1">
      <alignment horizontal="center" vertical="center" wrapText="1"/>
    </xf>
    <xf numFmtId="0" fontId="13" fillId="0" borderId="0" xfId="2" applyFont="1" applyAlignment="1">
      <alignment horizontal="center" vertical="center"/>
    </xf>
    <xf numFmtId="0" fontId="10" fillId="0" borderId="23" xfId="2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1" fillId="0" borderId="16" xfId="2" applyFont="1" applyFill="1" applyBorder="1" applyAlignment="1">
      <alignment horizontal="center" vertical="center" textRotation="90"/>
    </xf>
    <xf numFmtId="0" fontId="11" fillId="0" borderId="16" xfId="2" applyFont="1" applyFill="1" applyBorder="1" applyAlignment="1">
      <alignment horizontal="left" vertical="center"/>
    </xf>
    <xf numFmtId="0" fontId="11" fillId="0" borderId="16" xfId="2" applyFont="1" applyFill="1" applyBorder="1" applyAlignment="1">
      <alignment vertical="center"/>
    </xf>
    <xf numFmtId="0" fontId="12" fillId="0" borderId="16" xfId="2" applyFont="1" applyFill="1" applyBorder="1" applyAlignment="1">
      <alignment horizontal="left" vertical="center"/>
    </xf>
    <xf numFmtId="0" fontId="12" fillId="0" borderId="16" xfId="2" applyFont="1" applyBorder="1" applyAlignment="1">
      <alignment vertical="center"/>
    </xf>
    <xf numFmtId="0" fontId="14" fillId="0" borderId="16" xfId="2" applyFont="1" applyBorder="1" applyAlignment="1">
      <alignment vertical="center"/>
    </xf>
    <xf numFmtId="0" fontId="10" fillId="2" borderId="16" xfId="2" applyFont="1" applyFill="1" applyBorder="1" applyAlignment="1">
      <alignment vertical="center"/>
    </xf>
    <xf numFmtId="0" fontId="28" fillId="0" borderId="0" xfId="0" applyFont="1"/>
    <xf numFmtId="0" fontId="0" fillId="0" borderId="9" xfId="0" applyBorder="1"/>
    <xf numFmtId="0" fontId="28" fillId="0" borderId="9" xfId="0" applyFont="1" applyBorder="1"/>
    <xf numFmtId="0" fontId="0" fillId="0" borderId="9" xfId="0" applyBorder="1" applyAlignment="1">
      <alignment wrapText="1"/>
    </xf>
    <xf numFmtId="0" fontId="28" fillId="0" borderId="9" xfId="0" applyFont="1" applyBorder="1" applyAlignment="1">
      <alignment wrapText="1"/>
    </xf>
    <xf numFmtId="0" fontId="0" fillId="0" borderId="0" xfId="0" applyAlignment="1">
      <alignment horizontal="center" wrapText="1"/>
    </xf>
    <xf numFmtId="0" fontId="5" fillId="0" borderId="16" xfId="2" applyFont="1" applyBorder="1" applyAlignment="1">
      <alignment horizontal="center" vertical="center" wrapText="1"/>
    </xf>
    <xf numFmtId="0" fontId="5" fillId="0" borderId="1" xfId="2" applyFont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  <xf numFmtId="0" fontId="5" fillId="0" borderId="20" xfId="2" applyFont="1" applyBorder="1" applyAlignment="1">
      <alignment horizontal="center" vertical="center"/>
    </xf>
    <xf numFmtId="0" fontId="20" fillId="0" borderId="0" xfId="2" applyFont="1" applyFill="1" applyAlignment="1">
      <alignment horizontal="right"/>
    </xf>
    <xf numFmtId="0" fontId="10" fillId="2" borderId="9" xfId="2" applyFont="1" applyFill="1" applyBorder="1" applyAlignment="1">
      <alignment horizontal="center" vertical="center" wrapText="1"/>
    </xf>
    <xf numFmtId="0" fontId="10" fillId="0" borderId="24" xfId="2" applyFont="1" applyFill="1" applyBorder="1" applyAlignment="1">
      <alignment vertical="center"/>
    </xf>
    <xf numFmtId="0" fontId="10" fillId="0" borderId="25" xfId="2" applyFont="1" applyFill="1" applyBorder="1" applyAlignment="1">
      <alignment vertical="center"/>
    </xf>
    <xf numFmtId="49" fontId="19" fillId="0" borderId="9" xfId="2" applyNumberFormat="1" applyFont="1" applyBorder="1" applyAlignment="1">
      <alignment horizontal="center"/>
    </xf>
    <xf numFmtId="49" fontId="19" fillId="0" borderId="10" xfId="2" applyNumberFormat="1" applyFont="1" applyBorder="1" applyAlignment="1">
      <alignment horizontal="center"/>
    </xf>
    <xf numFmtId="49" fontId="19" fillId="0" borderId="9" xfId="2" applyNumberFormat="1" applyFont="1" applyFill="1" applyBorder="1" applyAlignment="1">
      <alignment horizontal="center" vertical="center"/>
    </xf>
    <xf numFmtId="0" fontId="10" fillId="0" borderId="23" xfId="2" applyFont="1" applyFill="1" applyBorder="1" applyAlignment="1">
      <alignment vertical="center"/>
    </xf>
    <xf numFmtId="0" fontId="10" fillId="0" borderId="9" xfId="2" applyFont="1" applyFill="1" applyBorder="1" applyAlignment="1">
      <alignment horizontal="center" vertical="center"/>
    </xf>
    <xf numFmtId="0" fontId="10" fillId="0" borderId="9" xfId="2" applyFont="1" applyFill="1" applyBorder="1" applyAlignment="1">
      <alignment vertical="center"/>
    </xf>
    <xf numFmtId="0" fontId="10" fillId="2" borderId="9" xfId="2" applyFont="1" applyFill="1" applyBorder="1" applyAlignment="1">
      <alignment horizontal="center" vertical="center" textRotation="90"/>
    </xf>
    <xf numFmtId="0" fontId="29" fillId="0" borderId="0" xfId="2" applyFont="1" applyAlignment="1">
      <alignment vertical="center"/>
    </xf>
    <xf numFmtId="0" fontId="20" fillId="0" borderId="20" xfId="2" applyFont="1" applyBorder="1" applyAlignment="1">
      <alignment horizontal="left" vertical="center"/>
    </xf>
    <xf numFmtId="3" fontId="17" fillId="0" borderId="26" xfId="2" applyNumberFormat="1" applyFont="1" applyBorder="1" applyAlignment="1">
      <alignment horizontal="center" vertical="center" wrapText="1"/>
    </xf>
    <xf numFmtId="49" fontId="14" fillId="0" borderId="16" xfId="2" applyNumberFormat="1" applyFont="1" applyBorder="1" applyAlignment="1">
      <alignment vertical="center"/>
    </xf>
    <xf numFmtId="49" fontId="14" fillId="0" borderId="27" xfId="2" applyNumberFormat="1" applyFont="1" applyBorder="1" applyAlignment="1">
      <alignment vertical="center"/>
    </xf>
    <xf numFmtId="49" fontId="14" fillId="0" borderId="28" xfId="2" applyNumberFormat="1" applyFont="1" applyBorder="1" applyAlignment="1">
      <alignment vertical="center"/>
    </xf>
    <xf numFmtId="49" fontId="14" fillId="0" borderId="16" xfId="2" applyNumberFormat="1" applyFont="1" applyBorder="1" applyAlignment="1">
      <alignment horizontal="left" vertical="center"/>
    </xf>
    <xf numFmtId="49" fontId="19" fillId="3" borderId="16" xfId="2" applyNumberFormat="1" applyFont="1" applyFill="1" applyBorder="1" applyAlignment="1">
      <alignment horizontal="left" vertical="center"/>
    </xf>
    <xf numFmtId="0" fontId="19" fillId="3" borderId="29" xfId="2" applyFont="1" applyFill="1" applyBorder="1" applyAlignment="1">
      <alignment horizontal="left" vertical="center"/>
    </xf>
    <xf numFmtId="0" fontId="2" fillId="0" borderId="0" xfId="2" applyFont="1" applyAlignment="1">
      <alignment horizontal="center" vertical="center"/>
    </xf>
    <xf numFmtId="0" fontId="2" fillId="0" borderId="0" xfId="2" applyFont="1" applyAlignment="1">
      <alignment horizontal="center" vertical="top"/>
    </xf>
    <xf numFmtId="0" fontId="52" fillId="0" borderId="18" xfId="2" applyFont="1" applyBorder="1" applyAlignment="1">
      <alignment vertical="center"/>
    </xf>
    <xf numFmtId="0" fontId="21" fillId="0" borderId="0" xfId="2" applyFont="1" applyFill="1" applyBorder="1" applyAlignment="1">
      <alignment vertical="center" wrapText="1"/>
    </xf>
    <xf numFmtId="0" fontId="2" fillId="0" borderId="0" xfId="2" applyFont="1" applyAlignment="1">
      <alignment vertical="top"/>
    </xf>
    <xf numFmtId="0" fontId="10" fillId="0" borderId="16" xfId="2" applyFont="1" applyFill="1" applyBorder="1" applyAlignment="1">
      <alignment horizontal="center" vertical="center"/>
    </xf>
    <xf numFmtId="0" fontId="10" fillId="0" borderId="16" xfId="2" applyFont="1" applyFill="1" applyBorder="1" applyAlignment="1">
      <alignment horizontal="center" vertical="center" wrapText="1"/>
    </xf>
    <xf numFmtId="0" fontId="19" fillId="0" borderId="9" xfId="2" applyFont="1" applyFill="1" applyBorder="1" applyAlignment="1">
      <alignment horizontal="center"/>
    </xf>
    <xf numFmtId="3" fontId="10" fillId="3" borderId="9" xfId="2" applyNumberFormat="1" applyFont="1" applyFill="1" applyBorder="1" applyAlignment="1">
      <alignment horizontal="right" indent="2"/>
    </xf>
    <xf numFmtId="0" fontId="57" fillId="0" borderId="0" xfId="2" applyFont="1" applyAlignment="1">
      <alignment wrapText="1"/>
    </xf>
    <xf numFmtId="0" fontId="19" fillId="0" borderId="9" xfId="2" applyFont="1" applyFill="1" applyBorder="1" applyAlignment="1">
      <alignment horizontal="left" vertical="center" wrapText="1"/>
    </xf>
    <xf numFmtId="3" fontId="10" fillId="2" borderId="9" xfId="2" applyNumberFormat="1" applyFont="1" applyFill="1" applyBorder="1" applyAlignment="1">
      <alignment horizontal="right" vertical="center" indent="1"/>
    </xf>
    <xf numFmtId="3" fontId="10" fillId="0" borderId="17" xfId="2" applyNumberFormat="1" applyFont="1" applyFill="1" applyBorder="1" applyAlignment="1">
      <alignment horizontal="right" vertical="center" indent="1"/>
    </xf>
    <xf numFmtId="3" fontId="19" fillId="2" borderId="9" xfId="2" applyNumberFormat="1" applyFont="1" applyFill="1" applyBorder="1" applyAlignment="1">
      <alignment horizontal="right" vertical="center" indent="1"/>
    </xf>
    <xf numFmtId="0" fontId="7" fillId="0" borderId="0" xfId="2" applyFont="1" applyFill="1" applyBorder="1"/>
    <xf numFmtId="3" fontId="7" fillId="0" borderId="0" xfId="2" applyNumberFormat="1" applyFont="1" applyFill="1" applyBorder="1" applyAlignment="1">
      <alignment horizontal="right" indent="2"/>
    </xf>
    <xf numFmtId="0" fontId="7" fillId="0" borderId="7" xfId="2" applyFont="1" applyBorder="1" applyAlignment="1">
      <alignment horizontal="center" vertical="center"/>
    </xf>
    <xf numFmtId="0" fontId="7" fillId="0" borderId="30" xfId="2" applyFont="1" applyBorder="1" applyAlignment="1">
      <alignment horizontal="center" vertical="center" wrapText="1"/>
    </xf>
    <xf numFmtId="0" fontId="28" fillId="0" borderId="16" xfId="0" applyFont="1" applyBorder="1" applyAlignment="1">
      <alignment horizontal="center" vertical="center"/>
    </xf>
    <xf numFmtId="0" fontId="19" fillId="2" borderId="9" xfId="2" applyFont="1" applyFill="1" applyBorder="1"/>
    <xf numFmtId="0" fontId="5" fillId="0" borderId="0" xfId="2" applyFont="1" applyAlignment="1">
      <alignment vertical="center" wrapText="1"/>
    </xf>
    <xf numFmtId="3" fontId="11" fillId="0" borderId="0" xfId="2" applyNumberFormat="1" applyFont="1" applyFill="1" applyBorder="1" applyAlignment="1">
      <alignment horizontal="right"/>
    </xf>
    <xf numFmtId="0" fontId="1" fillId="0" borderId="0" xfId="2" applyFont="1" applyAlignment="1">
      <alignment horizontal="right" vertical="center"/>
    </xf>
    <xf numFmtId="0" fontId="28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20" fillId="3" borderId="6" xfId="2" applyFont="1" applyFill="1" applyBorder="1" applyAlignment="1">
      <alignment horizontal="left" vertical="center"/>
    </xf>
    <xf numFmtId="0" fontId="20" fillId="4" borderId="1" xfId="2" applyFont="1" applyFill="1" applyBorder="1" applyAlignment="1">
      <alignment horizontal="left" vertical="center"/>
    </xf>
    <xf numFmtId="0" fontId="20" fillId="4" borderId="3" xfId="2" applyFont="1" applyFill="1" applyBorder="1" applyAlignment="1">
      <alignment horizontal="left" vertical="center"/>
    </xf>
    <xf numFmtId="3" fontId="6" fillId="0" borderId="31" xfId="2" applyNumberFormat="1" applyFont="1" applyFill="1" applyBorder="1" applyAlignment="1">
      <alignment horizontal="right" indent="1"/>
    </xf>
    <xf numFmtId="3" fontId="6" fillId="0" borderId="32" xfId="2" applyNumberFormat="1" applyFont="1" applyFill="1" applyBorder="1" applyAlignment="1">
      <alignment horizontal="right" indent="1"/>
    </xf>
    <xf numFmtId="3" fontId="6" fillId="0" borderId="33" xfId="2" applyNumberFormat="1" applyFont="1" applyFill="1" applyBorder="1" applyAlignment="1">
      <alignment horizontal="right" indent="1"/>
    </xf>
    <xf numFmtId="3" fontId="6" fillId="0" borderId="34" xfId="2" applyNumberFormat="1" applyFont="1" applyFill="1" applyBorder="1" applyAlignment="1">
      <alignment horizontal="right" indent="1"/>
    </xf>
    <xf numFmtId="3" fontId="7" fillId="0" borderId="16" xfId="2" applyNumberFormat="1" applyFont="1" applyFill="1" applyBorder="1" applyAlignment="1">
      <alignment horizontal="right" indent="1"/>
    </xf>
    <xf numFmtId="3" fontId="7" fillId="0" borderId="30" xfId="2" applyNumberFormat="1" applyFont="1" applyFill="1" applyBorder="1" applyAlignment="1">
      <alignment horizontal="right" indent="1"/>
    </xf>
    <xf numFmtId="3" fontId="6" fillId="0" borderId="19" xfId="2" applyNumberFormat="1" applyFont="1" applyBorder="1" applyAlignment="1">
      <alignment horizontal="right" indent="1"/>
    </xf>
    <xf numFmtId="3" fontId="6" fillId="0" borderId="36" xfId="2" applyNumberFormat="1" applyFont="1" applyBorder="1" applyAlignment="1">
      <alignment horizontal="right" indent="1"/>
    </xf>
    <xf numFmtId="3" fontId="6" fillId="0" borderId="37" xfId="2" applyNumberFormat="1" applyFont="1" applyBorder="1" applyAlignment="1">
      <alignment horizontal="right" indent="1"/>
    </xf>
    <xf numFmtId="3" fontId="6" fillId="0" borderId="38" xfId="2" applyNumberFormat="1" applyFont="1" applyBorder="1" applyAlignment="1">
      <alignment horizontal="right" indent="1"/>
    </xf>
    <xf numFmtId="3" fontId="7" fillId="0" borderId="39" xfId="2" applyNumberFormat="1" applyFont="1" applyBorder="1" applyAlignment="1">
      <alignment horizontal="right" indent="1"/>
    </xf>
    <xf numFmtId="3" fontId="7" fillId="0" borderId="30" xfId="2" applyNumberFormat="1" applyFont="1" applyBorder="1" applyAlignment="1">
      <alignment horizontal="right" indent="1"/>
    </xf>
    <xf numFmtId="0" fontId="11" fillId="0" borderId="8" xfId="2" applyFont="1" applyFill="1" applyBorder="1" applyAlignment="1">
      <alignment vertical="center"/>
    </xf>
    <xf numFmtId="0" fontId="28" fillId="0" borderId="0" xfId="0" applyFont="1" applyAlignment="1">
      <alignment horizontal="right"/>
    </xf>
    <xf numFmtId="0" fontId="16" fillId="2" borderId="26" xfId="2" applyFont="1" applyFill="1" applyBorder="1" applyAlignment="1">
      <alignment horizontal="left" vertical="center"/>
    </xf>
    <xf numFmtId="0" fontId="10" fillId="0" borderId="40" xfId="2" applyFont="1" applyBorder="1" applyAlignment="1">
      <alignment horizontal="center" vertical="center"/>
    </xf>
    <xf numFmtId="0" fontId="16" fillId="2" borderId="5" xfId="2" applyFont="1" applyFill="1" applyBorder="1" applyAlignment="1">
      <alignment horizontal="left" vertical="center"/>
    </xf>
    <xf numFmtId="0" fontId="16" fillId="2" borderId="41" xfId="2" applyFont="1" applyFill="1" applyBorder="1" applyAlignment="1">
      <alignment horizontal="left" vertical="center"/>
    </xf>
    <xf numFmtId="0" fontId="21" fillId="0" borderId="0" xfId="2" applyFont="1" applyAlignment="1">
      <alignment vertical="center" wrapText="1"/>
    </xf>
    <xf numFmtId="0" fontId="67" fillId="0" borderId="42" xfId="2" applyFont="1" applyBorder="1" applyAlignment="1">
      <alignment horizontal="center"/>
    </xf>
    <xf numFmtId="0" fontId="67" fillId="0" borderId="44" xfId="2" applyFont="1" applyBorder="1" applyAlignment="1">
      <alignment horizontal="center"/>
    </xf>
    <xf numFmtId="166" fontId="34" fillId="0" borderId="45" xfId="1" applyNumberFormat="1" applyFont="1" applyBorder="1" applyAlignment="1">
      <alignment horizontal="right" vertical="center" wrapText="1"/>
    </xf>
    <xf numFmtId="166" fontId="67" fillId="0" borderId="12" xfId="1" applyNumberFormat="1" applyFont="1" applyBorder="1" applyAlignment="1">
      <alignment horizontal="right" vertical="center"/>
    </xf>
    <xf numFmtId="166" fontId="34" fillId="0" borderId="9" xfId="1" applyNumberFormat="1" applyFont="1" applyBorder="1" applyAlignment="1">
      <alignment horizontal="right" vertical="center"/>
    </xf>
    <xf numFmtId="166" fontId="34" fillId="0" borderId="46" xfId="1" applyNumberFormat="1" applyFont="1" applyBorder="1" applyAlignment="1">
      <alignment horizontal="right" vertical="center"/>
    </xf>
    <xf numFmtId="166" fontId="67" fillId="0" borderId="47" xfId="1" applyNumberFormat="1" applyFont="1" applyBorder="1" applyAlignment="1">
      <alignment horizontal="right" vertical="center"/>
    </xf>
    <xf numFmtId="166" fontId="67" fillId="0" borderId="48" xfId="1" applyNumberFormat="1" applyFont="1" applyBorder="1" applyAlignment="1">
      <alignment horizontal="right" vertical="center"/>
    </xf>
    <xf numFmtId="3" fontId="77" fillId="0" borderId="18" xfId="3" applyNumberFormat="1" applyFont="1" applyFill="1" applyBorder="1" applyAlignment="1">
      <alignment horizontal="right" vertical="center" indent="1"/>
    </xf>
    <xf numFmtId="3" fontId="76" fillId="0" borderId="9" xfId="2" applyNumberFormat="1" applyFont="1" applyBorder="1" applyAlignment="1">
      <alignment horizontal="right"/>
    </xf>
    <xf numFmtId="3" fontId="75" fillId="0" borderId="9" xfId="2" applyNumberFormat="1" applyFont="1" applyBorder="1" applyAlignment="1">
      <alignment horizontal="right"/>
    </xf>
    <xf numFmtId="0" fontId="76" fillId="0" borderId="9" xfId="2" applyFont="1" applyBorder="1" applyAlignment="1">
      <alignment horizontal="right"/>
    </xf>
    <xf numFmtId="0" fontId="75" fillId="0" borderId="9" xfId="2" applyFont="1" applyBorder="1" applyAlignment="1">
      <alignment horizontal="right"/>
    </xf>
    <xf numFmtId="0" fontId="78" fillId="2" borderId="9" xfId="2" applyFont="1" applyFill="1" applyBorder="1" applyAlignment="1">
      <alignment horizontal="right"/>
    </xf>
    <xf numFmtId="3" fontId="75" fillId="2" borderId="9" xfId="2" applyNumberFormat="1" applyFont="1" applyFill="1" applyBorder="1" applyAlignment="1">
      <alignment horizontal="right"/>
    </xf>
    <xf numFmtId="0" fontId="74" fillId="0" borderId="0" xfId="0" applyFont="1"/>
    <xf numFmtId="0" fontId="74" fillId="0" borderId="9" xfId="0" applyFont="1" applyBorder="1"/>
    <xf numFmtId="3" fontId="6" fillId="0" borderId="9" xfId="2" applyNumberFormat="1" applyFont="1" applyFill="1" applyBorder="1" applyAlignment="1">
      <alignment horizontal="right" vertical="center" indent="2"/>
    </xf>
    <xf numFmtId="3" fontId="7" fillId="0" borderId="9" xfId="2" applyNumberFormat="1" applyFont="1" applyFill="1" applyBorder="1" applyAlignment="1">
      <alignment horizontal="right" vertical="center" indent="2"/>
    </xf>
    <xf numFmtId="3" fontId="6" fillId="0" borderId="9" xfId="2" applyNumberFormat="1" applyFont="1" applyBorder="1" applyAlignment="1">
      <alignment horizontal="right" vertical="center" indent="2"/>
    </xf>
    <xf numFmtId="3" fontId="7" fillId="0" borderId="9" xfId="2" applyNumberFormat="1" applyFont="1" applyBorder="1" applyAlignment="1">
      <alignment horizontal="right" vertical="center" indent="2"/>
    </xf>
    <xf numFmtId="3" fontId="12" fillId="0" borderId="36" xfId="2" applyNumberFormat="1" applyFont="1" applyBorder="1" applyAlignment="1">
      <alignment horizontal="right" vertical="center" indent="5"/>
    </xf>
    <xf numFmtId="3" fontId="11" fillId="2" borderId="39" xfId="2" applyNumberFormat="1" applyFont="1" applyFill="1" applyBorder="1" applyAlignment="1">
      <alignment horizontal="right" vertical="center" indent="5"/>
    </xf>
    <xf numFmtId="3" fontId="12" fillId="0" borderId="49" xfId="2" applyNumberFormat="1" applyFont="1" applyBorder="1" applyAlignment="1">
      <alignment horizontal="right" vertical="center" indent="5"/>
    </xf>
    <xf numFmtId="3" fontId="12" fillId="0" borderId="37" xfId="2" applyNumberFormat="1" applyFont="1" applyBorder="1" applyAlignment="1">
      <alignment horizontal="right" vertical="center" indent="5"/>
    </xf>
    <xf numFmtId="3" fontId="12" fillId="3" borderId="50" xfId="2" applyNumberFormat="1" applyFont="1" applyFill="1" applyBorder="1" applyAlignment="1">
      <alignment horizontal="right" vertical="center" indent="5"/>
    </xf>
    <xf numFmtId="3" fontId="12" fillId="4" borderId="19" xfId="2" applyNumberFormat="1" applyFont="1" applyFill="1" applyBorder="1" applyAlignment="1">
      <alignment horizontal="right" vertical="center" indent="5"/>
    </xf>
    <xf numFmtId="0" fontId="20" fillId="4" borderId="2" xfId="2" applyFont="1" applyFill="1" applyBorder="1" applyAlignment="1">
      <alignment horizontal="left" vertical="center"/>
    </xf>
    <xf numFmtId="3" fontId="12" fillId="4" borderId="49" xfId="2" applyNumberFormat="1" applyFont="1" applyFill="1" applyBorder="1" applyAlignment="1">
      <alignment horizontal="right" vertical="center" indent="5"/>
    </xf>
    <xf numFmtId="3" fontId="12" fillId="4" borderId="36" xfId="2" applyNumberFormat="1" applyFont="1" applyFill="1" applyBorder="1" applyAlignment="1">
      <alignment horizontal="right" vertical="center" indent="5"/>
    </xf>
    <xf numFmtId="3" fontId="12" fillId="0" borderId="36" xfId="2" applyNumberFormat="1" applyFont="1" applyBorder="1" applyAlignment="1">
      <alignment horizontal="right" vertical="center" indent="4"/>
    </xf>
    <xf numFmtId="3" fontId="12" fillId="0" borderId="37" xfId="2" applyNumberFormat="1" applyFont="1" applyFill="1" applyBorder="1" applyAlignment="1">
      <alignment horizontal="right" vertical="center" indent="4"/>
    </xf>
    <xf numFmtId="3" fontId="11" fillId="2" borderId="39" xfId="2" applyNumberFormat="1" applyFont="1" applyFill="1" applyBorder="1" applyAlignment="1">
      <alignment horizontal="right" vertical="center" indent="4"/>
    </xf>
    <xf numFmtId="3" fontId="12" fillId="0" borderId="36" xfId="2" applyNumberFormat="1" applyFont="1" applyFill="1" applyBorder="1" applyAlignment="1">
      <alignment horizontal="right" vertical="center" indent="4"/>
    </xf>
    <xf numFmtId="3" fontId="10" fillId="2" borderId="30" xfId="2" applyNumberFormat="1" applyFont="1" applyFill="1" applyBorder="1" applyAlignment="1">
      <alignment horizontal="right" vertical="center" indent="4"/>
    </xf>
    <xf numFmtId="3" fontId="12" fillId="4" borderId="36" xfId="2" applyNumberFormat="1" applyFont="1" applyFill="1" applyBorder="1" applyAlignment="1">
      <alignment horizontal="right" vertical="center" wrapText="1" indent="5"/>
    </xf>
    <xf numFmtId="3" fontId="10" fillId="2" borderId="9" xfId="2" applyNumberFormat="1" applyFont="1" applyFill="1" applyBorder="1" applyAlignment="1">
      <alignment horizontal="right" indent="1"/>
    </xf>
    <xf numFmtId="0" fontId="19" fillId="0" borderId="9" xfId="2" applyFont="1" applyFill="1" applyBorder="1"/>
    <xf numFmtId="0" fontId="19" fillId="3" borderId="9" xfId="2" applyFont="1" applyFill="1" applyBorder="1" applyAlignment="1">
      <alignment horizontal="center" vertical="center"/>
    </xf>
    <xf numFmtId="3" fontId="19" fillId="3" borderId="9" xfId="2" applyNumberFormat="1" applyFont="1" applyFill="1" applyBorder="1" applyAlignment="1">
      <alignment horizontal="right" vertical="center"/>
    </xf>
    <xf numFmtId="0" fontId="19" fillId="3" borderId="9" xfId="2" applyFont="1" applyFill="1" applyBorder="1" applyAlignment="1">
      <alignment vertical="center" wrapText="1"/>
    </xf>
    <xf numFmtId="0" fontId="30" fillId="0" borderId="0" xfId="2" applyFont="1" applyAlignment="1">
      <alignment vertical="center" wrapText="1"/>
    </xf>
    <xf numFmtId="3" fontId="31" fillId="0" borderId="0" xfId="2" applyNumberFormat="1" applyFont="1" applyAlignment="1">
      <alignment vertical="center"/>
    </xf>
    <xf numFmtId="0" fontId="21" fillId="0" borderId="9" xfId="2" applyFont="1" applyFill="1" applyBorder="1" applyAlignment="1">
      <alignment horizontal="center" vertical="center" wrapText="1"/>
    </xf>
    <xf numFmtId="0" fontId="68" fillId="3" borderId="25" xfId="2" applyFont="1" applyFill="1" applyBorder="1" applyAlignment="1">
      <alignment vertical="center" wrapText="1"/>
    </xf>
    <xf numFmtId="0" fontId="68" fillId="3" borderId="9" xfId="2" applyFont="1" applyFill="1" applyBorder="1" applyAlignment="1">
      <alignment vertical="center" wrapText="1"/>
    </xf>
    <xf numFmtId="0" fontId="42" fillId="3" borderId="25" xfId="2" applyFont="1" applyFill="1" applyBorder="1" applyAlignment="1">
      <alignment horizontal="center" vertical="center"/>
    </xf>
    <xf numFmtId="0" fontId="42" fillId="3" borderId="9" xfId="2" applyFont="1" applyFill="1" applyBorder="1" applyAlignment="1">
      <alignment horizontal="center" vertical="center"/>
    </xf>
    <xf numFmtId="167" fontId="21" fillId="3" borderId="25" xfId="1" applyNumberFormat="1" applyFont="1" applyFill="1" applyBorder="1" applyAlignment="1">
      <alignment horizontal="center" vertical="center"/>
    </xf>
    <xf numFmtId="167" fontId="42" fillId="3" borderId="25" xfId="1" applyNumberFormat="1" applyFont="1" applyFill="1" applyBorder="1" applyAlignment="1">
      <alignment horizontal="center" vertical="center"/>
    </xf>
    <xf numFmtId="9" fontId="42" fillId="3" borderId="25" xfId="4" applyFont="1" applyFill="1" applyBorder="1" applyAlignment="1">
      <alignment horizontal="center" vertical="center"/>
    </xf>
    <xf numFmtId="9" fontId="42" fillId="3" borderId="9" xfId="4" applyFont="1" applyFill="1" applyBorder="1" applyAlignment="1">
      <alignment horizontal="center" vertical="center"/>
    </xf>
    <xf numFmtId="167" fontId="21" fillId="3" borderId="9" xfId="1" applyNumberFormat="1" applyFont="1" applyFill="1" applyBorder="1" applyAlignment="1">
      <alignment horizontal="center" vertical="center"/>
    </xf>
    <xf numFmtId="167" fontId="42" fillId="3" borderId="9" xfId="1" applyNumberFormat="1" applyFont="1" applyFill="1" applyBorder="1" applyAlignment="1">
      <alignment horizontal="center" vertical="center"/>
    </xf>
    <xf numFmtId="3" fontId="19" fillId="0" borderId="9" xfId="2" applyNumberFormat="1" applyFont="1" applyBorder="1"/>
    <xf numFmtId="166" fontId="1" fillId="0" borderId="0" xfId="2" applyNumberFormat="1"/>
    <xf numFmtId="3" fontId="19" fillId="0" borderId="9" xfId="2" applyNumberFormat="1" applyFont="1" applyFill="1" applyBorder="1" applyAlignment="1">
      <alignment horizontal="right" vertical="center" indent="1"/>
    </xf>
    <xf numFmtId="164" fontId="69" fillId="0" borderId="9" xfId="1" applyNumberFormat="1" applyFont="1" applyBorder="1"/>
    <xf numFmtId="164" fontId="69" fillId="0" borderId="44" xfId="1" applyNumberFormat="1" applyFont="1" applyBorder="1"/>
    <xf numFmtId="164" fontId="69" fillId="0" borderId="48" xfId="1" applyNumberFormat="1" applyFont="1" applyBorder="1"/>
    <xf numFmtId="164" fontId="69" fillId="0" borderId="36" xfId="1" applyNumberFormat="1" applyFont="1" applyBorder="1"/>
    <xf numFmtId="164" fontId="69" fillId="0" borderId="38" xfId="1" applyNumberFormat="1" applyFont="1" applyBorder="1"/>
    <xf numFmtId="164" fontId="69" fillId="0" borderId="51" xfId="1" applyNumberFormat="1" applyFont="1" applyBorder="1" applyAlignment="1">
      <alignment horizontal="right"/>
    </xf>
    <xf numFmtId="164" fontId="69" fillId="0" borderId="9" xfId="1" applyNumberFormat="1" applyFont="1" applyBorder="1" applyAlignment="1">
      <alignment horizontal="right"/>
    </xf>
    <xf numFmtId="164" fontId="69" fillId="0" borderId="44" xfId="1" applyNumberFormat="1" applyFont="1" applyBorder="1" applyAlignment="1">
      <alignment horizontal="right"/>
    </xf>
    <xf numFmtId="164" fontId="69" fillId="0" borderId="48" xfId="1" applyNumberFormat="1" applyFont="1" applyBorder="1" applyAlignment="1">
      <alignment horizontal="right"/>
    </xf>
    <xf numFmtId="164" fontId="0" fillId="0" borderId="0" xfId="0" applyNumberFormat="1"/>
    <xf numFmtId="164" fontId="69" fillId="0" borderId="51" xfId="1" applyNumberFormat="1" applyFont="1" applyBorder="1" applyAlignment="1">
      <alignment horizontal="left"/>
    </xf>
    <xf numFmtId="164" fontId="69" fillId="0" borderId="51" xfId="1" applyNumberFormat="1" applyFont="1" applyBorder="1" applyAlignment="1">
      <alignment horizontal="left" indent="1"/>
    </xf>
    <xf numFmtId="164" fontId="69" fillId="0" borderId="19" xfId="1" applyNumberFormat="1" applyFont="1" applyBorder="1" applyAlignment="1">
      <alignment horizontal="left" indent="1"/>
    </xf>
    <xf numFmtId="164" fontId="69" fillId="0" borderId="9" xfId="1" applyNumberFormat="1" applyFont="1" applyBorder="1" applyAlignment="1">
      <alignment horizontal="left"/>
    </xf>
    <xf numFmtId="164" fontId="69" fillId="0" borderId="9" xfId="1" applyNumberFormat="1" applyFont="1" applyBorder="1" applyAlignment="1">
      <alignment horizontal="left" indent="1"/>
    </xf>
    <xf numFmtId="164" fontId="69" fillId="0" borderId="36" xfId="1" applyNumberFormat="1" applyFont="1" applyBorder="1" applyAlignment="1">
      <alignment horizontal="left" indent="1"/>
    </xf>
    <xf numFmtId="164" fontId="69" fillId="0" borderId="44" xfId="1" applyNumberFormat="1" applyFont="1" applyBorder="1" applyAlignment="1">
      <alignment horizontal="left"/>
    </xf>
    <xf numFmtId="164" fontId="69" fillId="0" borderId="44" xfId="1" applyNumberFormat="1" applyFont="1" applyBorder="1" applyAlignment="1">
      <alignment horizontal="left" indent="1"/>
    </xf>
    <xf numFmtId="164" fontId="69" fillId="0" borderId="38" xfId="1" applyNumberFormat="1" applyFont="1" applyBorder="1" applyAlignment="1">
      <alignment horizontal="left" indent="1"/>
    </xf>
    <xf numFmtId="164" fontId="69" fillId="0" borderId="48" xfId="1" applyNumberFormat="1" applyFont="1" applyBorder="1" applyAlignment="1">
      <alignment horizontal="left"/>
    </xf>
    <xf numFmtId="0" fontId="70" fillId="0" borderId="9" xfId="0" applyFont="1" applyBorder="1" applyAlignment="1">
      <alignment horizontal="center"/>
    </xf>
    <xf numFmtId="3" fontId="79" fillId="0" borderId="9" xfId="0" applyNumberFormat="1" applyFont="1" applyBorder="1"/>
    <xf numFmtId="3" fontId="79" fillId="0" borderId="9" xfId="0" applyNumberFormat="1" applyFont="1" applyBorder="1" applyAlignment="1">
      <alignment vertical="center"/>
    </xf>
    <xf numFmtId="0" fontId="79" fillId="0" borderId="9" xfId="0" applyFont="1" applyBorder="1"/>
    <xf numFmtId="164" fontId="20" fillId="0" borderId="0" xfId="1" applyNumberFormat="1" applyFont="1" applyFill="1"/>
    <xf numFmtId="3" fontId="20" fillId="0" borderId="9" xfId="3" applyNumberFormat="1" applyFont="1" applyFill="1" applyBorder="1" applyAlignment="1">
      <alignment horizontal="right" vertical="center"/>
    </xf>
    <xf numFmtId="3" fontId="16" fillId="0" borderId="9" xfId="3" applyNumberFormat="1" applyFont="1" applyFill="1" applyBorder="1" applyAlignment="1">
      <alignment horizontal="right" vertical="center" indent="1"/>
    </xf>
    <xf numFmtId="3" fontId="16" fillId="0" borderId="9" xfId="3" applyNumberFormat="1" applyFont="1" applyFill="1" applyBorder="1" applyAlignment="1">
      <alignment horizontal="right" vertical="center"/>
    </xf>
    <xf numFmtId="0" fontId="20" fillId="0" borderId="9" xfId="3" applyFont="1" applyFill="1" applyBorder="1" applyAlignment="1">
      <alignment horizontal="right" vertical="center"/>
    </xf>
    <xf numFmtId="3" fontId="19" fillId="0" borderId="16" xfId="2" applyNumberFormat="1" applyFont="1" applyBorder="1" applyAlignment="1">
      <alignment horizontal="right" vertical="center" indent="1"/>
    </xf>
    <xf numFmtId="3" fontId="19" fillId="0" borderId="16" xfId="2" applyNumberFormat="1" applyFont="1" applyBorder="1" applyAlignment="1">
      <alignment horizontal="right" vertical="center" indent="2"/>
    </xf>
    <xf numFmtId="3" fontId="10" fillId="2" borderId="16" xfId="2" applyNumberFormat="1" applyFont="1" applyFill="1" applyBorder="1" applyAlignment="1">
      <alignment horizontal="right" vertical="center" indent="1"/>
    </xf>
    <xf numFmtId="3" fontId="10" fillId="3" borderId="16" xfId="2" applyNumberFormat="1" applyFont="1" applyFill="1" applyBorder="1" applyAlignment="1">
      <alignment horizontal="right" vertical="center" indent="1"/>
    </xf>
    <xf numFmtId="0" fontId="19" fillId="0" borderId="16" xfId="2" applyFont="1" applyBorder="1" applyAlignment="1">
      <alignment horizontal="left" vertical="center"/>
    </xf>
    <xf numFmtId="0" fontId="19" fillId="0" borderId="16" xfId="2" applyFont="1" applyBorder="1" applyAlignment="1">
      <alignment vertical="center"/>
    </xf>
    <xf numFmtId="49" fontId="19" fillId="0" borderId="16" xfId="2" applyNumberFormat="1" applyFont="1" applyBorder="1" applyAlignment="1">
      <alignment vertical="center"/>
    </xf>
    <xf numFmtId="3" fontId="19" fillId="0" borderId="16" xfId="2" applyNumberFormat="1" applyFont="1" applyFill="1" applyBorder="1" applyAlignment="1">
      <alignment horizontal="right" vertical="center" indent="1"/>
    </xf>
    <xf numFmtId="3" fontId="19" fillId="3" borderId="9" xfId="2" applyNumberFormat="1" applyFont="1" applyFill="1" applyBorder="1" applyAlignment="1"/>
    <xf numFmtId="0" fontId="19" fillId="3" borderId="9" xfId="2" applyFont="1" applyFill="1" applyBorder="1"/>
    <xf numFmtId="3" fontId="19" fillId="4" borderId="9" xfId="2" applyNumberFormat="1" applyFont="1" applyFill="1" applyBorder="1" applyAlignment="1">
      <alignment horizontal="right" indent="1"/>
    </xf>
    <xf numFmtId="0" fontId="10" fillId="2" borderId="9" xfId="2" applyFont="1" applyFill="1" applyBorder="1" applyAlignment="1">
      <alignment horizontal="center"/>
    </xf>
    <xf numFmtId="0" fontId="71" fillId="0" borderId="0" xfId="2" applyFont="1"/>
    <xf numFmtId="0" fontId="72" fillId="0" borderId="0" xfId="2" applyFont="1"/>
    <xf numFmtId="0" fontId="68" fillId="0" borderId="0" xfId="2" applyFont="1"/>
    <xf numFmtId="0" fontId="68" fillId="0" borderId="0" xfId="2" applyFont="1" applyAlignment="1">
      <alignment horizontal="center"/>
    </xf>
    <xf numFmtId="0" fontId="40" fillId="0" borderId="0" xfId="2" applyFont="1" applyAlignment="1">
      <alignment vertical="center"/>
    </xf>
    <xf numFmtId="3" fontId="42" fillId="3" borderId="0" xfId="2" applyNumberFormat="1" applyFont="1" applyFill="1" applyAlignment="1">
      <alignment horizontal="center"/>
    </xf>
    <xf numFmtId="3" fontId="42" fillId="3" borderId="0" xfId="2" applyNumberFormat="1" applyFont="1" applyFill="1" applyAlignment="1">
      <alignment horizontal="right" wrapText="1"/>
    </xf>
    <xf numFmtId="0" fontId="21" fillId="3" borderId="0" xfId="2" applyFont="1" applyFill="1"/>
    <xf numFmtId="3" fontId="21" fillId="3" borderId="0" xfId="2" applyNumberFormat="1" applyFont="1" applyFill="1"/>
    <xf numFmtId="0" fontId="42" fillId="3" borderId="0" xfId="2" applyFont="1" applyFill="1"/>
    <xf numFmtId="3" fontId="42" fillId="3" borderId="0" xfId="2" applyNumberFormat="1" applyFont="1" applyFill="1" applyAlignment="1">
      <alignment horizontal="right"/>
    </xf>
    <xf numFmtId="3" fontId="21" fillId="3" borderId="0" xfId="2" applyNumberFormat="1" applyFont="1" applyFill="1" applyAlignment="1">
      <alignment horizontal="right"/>
    </xf>
    <xf numFmtId="0" fontId="42" fillId="3" borderId="0" xfId="2" applyFont="1" applyFill="1" applyAlignment="1">
      <alignment horizontal="center"/>
    </xf>
    <xf numFmtId="3" fontId="42" fillId="3" borderId="0" xfId="2" applyNumberFormat="1" applyFont="1" applyFill="1"/>
    <xf numFmtId="3" fontId="71" fillId="0" borderId="0" xfId="2" applyNumberFormat="1" applyFont="1"/>
    <xf numFmtId="0" fontId="73" fillId="0" borderId="0" xfId="2" applyFont="1" applyAlignment="1">
      <alignment horizontal="justify"/>
    </xf>
    <xf numFmtId="3" fontId="42" fillId="0" borderId="0" xfId="2" applyNumberFormat="1" applyFont="1" applyAlignment="1">
      <alignment horizontal="right"/>
    </xf>
    <xf numFmtId="0" fontId="73" fillId="0" borderId="0" xfId="2" applyFont="1" applyAlignment="1">
      <alignment horizontal="left"/>
    </xf>
    <xf numFmtId="0" fontId="43" fillId="0" borderId="0" xfId="2" applyFont="1" applyAlignment="1">
      <alignment vertical="center" wrapText="1"/>
    </xf>
    <xf numFmtId="3" fontId="12" fillId="4" borderId="38" xfId="2" applyNumberFormat="1" applyFont="1" applyFill="1" applyBorder="1" applyAlignment="1">
      <alignment horizontal="right" vertical="center" indent="5"/>
    </xf>
    <xf numFmtId="3" fontId="10" fillId="4" borderId="9" xfId="2" applyNumberFormat="1" applyFont="1" applyFill="1" applyBorder="1" applyAlignment="1">
      <alignment horizontal="right" indent="2"/>
    </xf>
    <xf numFmtId="0" fontId="40" fillId="0" borderId="9" xfId="2" applyFont="1" applyBorder="1"/>
    <xf numFmtId="3" fontId="40" fillId="0" borderId="9" xfId="2" applyNumberFormat="1" applyFont="1" applyBorder="1"/>
    <xf numFmtId="3" fontId="19" fillId="3" borderId="16" xfId="2" applyNumberFormat="1" applyFont="1" applyFill="1" applyBorder="1" applyAlignment="1">
      <alignment horizontal="right" vertical="center" indent="1"/>
    </xf>
    <xf numFmtId="3" fontId="19" fillId="3" borderId="16" xfId="2" applyNumberFormat="1" applyFont="1" applyFill="1" applyBorder="1" applyAlignment="1">
      <alignment horizontal="right" vertical="center" indent="2"/>
    </xf>
    <xf numFmtId="3" fontId="10" fillId="3" borderId="16" xfId="2" applyNumberFormat="1" applyFont="1" applyFill="1" applyBorder="1" applyAlignment="1">
      <alignment horizontal="center" vertical="center"/>
    </xf>
    <xf numFmtId="3" fontId="10" fillId="2" borderId="16" xfId="2" applyNumberFormat="1" applyFont="1" applyFill="1" applyBorder="1" applyAlignment="1">
      <alignment horizontal="center" vertical="center"/>
    </xf>
    <xf numFmtId="3" fontId="19" fillId="0" borderId="16" xfId="2" applyNumberFormat="1" applyFont="1" applyBorder="1" applyAlignment="1">
      <alignment horizontal="center" vertical="center"/>
    </xf>
    <xf numFmtId="3" fontId="19" fillId="0" borderId="16" xfId="2" applyNumberFormat="1" applyFont="1" applyBorder="1" applyAlignment="1">
      <alignment horizontal="center"/>
    </xf>
    <xf numFmtId="3" fontId="20" fillId="0" borderId="0" xfId="2" applyNumberFormat="1" applyFont="1" applyFill="1"/>
    <xf numFmtId="3" fontId="19" fillId="0" borderId="9" xfId="2" applyNumberFormat="1" applyFont="1" applyBorder="1" applyAlignment="1">
      <alignment horizontal="right"/>
    </xf>
    <xf numFmtId="3" fontId="10" fillId="2" borderId="9" xfId="2" applyNumberFormat="1" applyFont="1" applyFill="1" applyBorder="1" applyAlignment="1">
      <alignment horizontal="right"/>
    </xf>
    <xf numFmtId="0" fontId="19" fillId="2" borderId="9" xfId="2" applyFont="1" applyFill="1" applyBorder="1" applyAlignment="1">
      <alignment horizontal="right"/>
    </xf>
    <xf numFmtId="0" fontId="19" fillId="0" borderId="9" xfId="2" applyFont="1" applyBorder="1" applyAlignment="1">
      <alignment horizontal="right"/>
    </xf>
    <xf numFmtId="0" fontId="25" fillId="2" borderId="9" xfId="2" applyFont="1" applyFill="1" applyBorder="1" applyAlignment="1">
      <alignment horizontal="right"/>
    </xf>
    <xf numFmtId="3" fontId="80" fillId="0" borderId="0" xfId="2" applyNumberFormat="1" applyFont="1" applyAlignment="1"/>
    <xf numFmtId="0" fontId="20" fillId="4" borderId="0" xfId="2" applyFont="1" applyFill="1" applyBorder="1" applyAlignment="1">
      <alignment horizontal="right" vertical="center"/>
    </xf>
    <xf numFmtId="0" fontId="54" fillId="0" borderId="0" xfId="2" applyFont="1" applyBorder="1" applyAlignment="1">
      <alignment horizontal="right"/>
    </xf>
    <xf numFmtId="3" fontId="6" fillId="4" borderId="33" xfId="2" applyNumberFormat="1" applyFont="1" applyFill="1" applyBorder="1" applyAlignment="1">
      <alignment horizontal="right" indent="1"/>
    </xf>
    <xf numFmtId="3" fontId="19" fillId="4" borderId="16" xfId="2" applyNumberFormat="1" applyFont="1" applyFill="1" applyBorder="1" applyAlignment="1">
      <alignment horizontal="right" vertical="center" indent="1"/>
    </xf>
    <xf numFmtId="3" fontId="10" fillId="2" borderId="16" xfId="2" applyNumberFormat="1" applyFont="1" applyFill="1" applyBorder="1" applyAlignment="1">
      <alignment horizontal="center"/>
    </xf>
    <xf numFmtId="3" fontId="21" fillId="0" borderId="9" xfId="2" applyNumberFormat="1" applyFont="1" applyBorder="1" applyAlignment="1">
      <alignment vertical="center"/>
    </xf>
    <xf numFmtId="0" fontId="42" fillId="0" borderId="9" xfId="2" applyFont="1" applyBorder="1" applyAlignment="1">
      <alignment vertical="center"/>
    </xf>
    <xf numFmtId="0" fontId="41" fillId="0" borderId="0" xfId="0" applyFont="1" applyAlignment="1"/>
    <xf numFmtId="3" fontId="19" fillId="0" borderId="9" xfId="2" applyNumberFormat="1" applyFont="1" applyBorder="1" applyAlignment="1">
      <alignment horizontal="right" vertical="center"/>
    </xf>
    <xf numFmtId="3" fontId="10" fillId="2" borderId="9" xfId="2" applyNumberFormat="1" applyFont="1" applyFill="1" applyBorder="1" applyAlignment="1">
      <alignment horizontal="right" wrapText="1"/>
    </xf>
    <xf numFmtId="0" fontId="0" fillId="0" borderId="0" xfId="0" applyAlignment="1">
      <alignment horizontal="center"/>
    </xf>
    <xf numFmtId="49" fontId="14" fillId="0" borderId="26" xfId="2" applyNumberFormat="1" applyFont="1" applyBorder="1" applyAlignment="1">
      <alignment horizontal="left" vertical="center"/>
    </xf>
    <xf numFmtId="0" fontId="14" fillId="0" borderId="29" xfId="2" applyFont="1" applyBorder="1" applyAlignment="1">
      <alignment vertical="center"/>
    </xf>
    <xf numFmtId="49" fontId="14" fillId="0" borderId="26" xfId="2" applyNumberFormat="1" applyFont="1" applyBorder="1" applyAlignment="1">
      <alignment horizontal="left" vertical="center" wrapText="1"/>
    </xf>
    <xf numFmtId="3" fontId="81" fillId="0" borderId="0" xfId="2" applyNumberFormat="1" applyFont="1" applyAlignment="1">
      <alignment vertical="center"/>
    </xf>
    <xf numFmtId="3" fontId="10" fillId="5" borderId="16" xfId="2" applyNumberFormat="1" applyFont="1" applyFill="1" applyBorder="1" applyAlignment="1">
      <alignment horizontal="right" vertical="center" indent="1"/>
    </xf>
    <xf numFmtId="3" fontId="11" fillId="0" borderId="16" xfId="2" applyNumberFormat="1" applyFont="1" applyFill="1" applyBorder="1" applyAlignment="1">
      <alignment vertical="center" wrapText="1"/>
    </xf>
    <xf numFmtId="3" fontId="12" fillId="0" borderId="16" xfId="2" applyNumberFormat="1" applyFont="1" applyFill="1" applyBorder="1" applyAlignment="1">
      <alignment vertical="center"/>
    </xf>
    <xf numFmtId="3" fontId="11" fillId="0" borderId="16" xfId="2" applyNumberFormat="1" applyFont="1" applyFill="1" applyBorder="1" applyAlignment="1">
      <alignment vertical="center"/>
    </xf>
    <xf numFmtId="3" fontId="12" fillId="0" borderId="26" xfId="2" applyNumberFormat="1" applyFont="1" applyFill="1" applyBorder="1" applyAlignment="1">
      <alignment vertical="center"/>
    </xf>
    <xf numFmtId="0" fontId="10" fillId="0" borderId="29" xfId="2" applyFont="1" applyFill="1" applyBorder="1" applyAlignment="1">
      <alignment horizontal="center" vertical="center" wrapText="1"/>
    </xf>
    <xf numFmtId="3" fontId="54" fillId="0" borderId="0" xfId="2" applyNumberFormat="1" applyFont="1" applyBorder="1"/>
    <xf numFmtId="0" fontId="20" fillId="0" borderId="21" xfId="2" applyFont="1" applyBorder="1" applyAlignment="1">
      <alignment horizontal="left" vertical="center" wrapText="1"/>
    </xf>
    <xf numFmtId="3" fontId="16" fillId="0" borderId="0" xfId="2" applyNumberFormat="1" applyFont="1" applyFill="1"/>
    <xf numFmtId="3" fontId="21" fillId="0" borderId="25" xfId="2" applyNumberFormat="1" applyFont="1" applyBorder="1" applyAlignment="1">
      <alignment vertical="center"/>
    </xf>
    <xf numFmtId="0" fontId="19" fillId="0" borderId="16" xfId="2" applyFont="1" applyBorder="1" applyAlignment="1">
      <alignment horizontal="center"/>
    </xf>
    <xf numFmtId="0" fontId="19" fillId="0" borderId="25" xfId="2" applyFont="1" applyBorder="1"/>
    <xf numFmtId="0" fontId="21" fillId="0" borderId="16" xfId="2" applyFont="1" applyBorder="1" applyAlignment="1">
      <alignment vertical="center"/>
    </xf>
    <xf numFmtId="0" fontId="10" fillId="0" borderId="9" xfId="3" applyFont="1" applyFill="1" applyBorder="1" applyAlignment="1">
      <alignment horizontal="center" vertical="center" wrapText="1"/>
    </xf>
    <xf numFmtId="3" fontId="16" fillId="0" borderId="0" xfId="3" applyNumberFormat="1" applyFont="1" applyFill="1"/>
    <xf numFmtId="0" fontId="28" fillId="0" borderId="54" xfId="0" applyFont="1" applyBorder="1" applyAlignment="1">
      <alignment horizontal="center" vertical="center"/>
    </xf>
    <xf numFmtId="3" fontId="16" fillId="0" borderId="16" xfId="2" applyNumberFormat="1" applyFont="1" applyFill="1" applyBorder="1" applyAlignment="1">
      <alignment vertical="center"/>
    </xf>
    <xf numFmtId="3" fontId="20" fillId="0" borderId="16" xfId="2" applyNumberFormat="1" applyFont="1" applyBorder="1" applyAlignment="1">
      <alignment horizontal="center" vertical="center"/>
    </xf>
    <xf numFmtId="3" fontId="12" fillId="0" borderId="16" xfId="2" applyNumberFormat="1" applyFont="1" applyFill="1" applyBorder="1" applyAlignment="1">
      <alignment horizontal="left" vertical="center"/>
    </xf>
    <xf numFmtId="3" fontId="9" fillId="0" borderId="0" xfId="2" applyNumberFormat="1" applyFont="1"/>
    <xf numFmtId="3" fontId="12" fillId="0" borderId="16" xfId="2" applyNumberFormat="1" applyFont="1" applyBorder="1" applyAlignment="1">
      <alignment vertical="center"/>
    </xf>
    <xf numFmtId="3" fontId="65" fillId="0" borderId="26" xfId="2" applyNumberFormat="1" applyFont="1" applyFill="1" applyBorder="1" applyAlignment="1">
      <alignment vertical="center"/>
    </xf>
    <xf numFmtId="3" fontId="12" fillId="0" borderId="16" xfId="2" applyNumberFormat="1" applyFont="1" applyFill="1" applyBorder="1" applyAlignment="1"/>
    <xf numFmtId="3" fontId="65" fillId="0" borderId="16" xfId="2" applyNumberFormat="1" applyFont="1" applyFill="1" applyBorder="1" applyAlignment="1"/>
    <xf numFmtId="3" fontId="16" fillId="0" borderId="16" xfId="2" applyNumberFormat="1" applyFont="1" applyFill="1" applyBorder="1" applyAlignment="1"/>
    <xf numFmtId="3" fontId="16" fillId="0" borderId="16" xfId="2" applyNumberFormat="1" applyFont="1" applyBorder="1" applyAlignment="1"/>
    <xf numFmtId="3" fontId="11" fillId="0" borderId="16" xfId="2" applyNumberFormat="1" applyFont="1" applyFill="1" applyBorder="1" applyAlignment="1">
      <alignment wrapText="1"/>
    </xf>
    <xf numFmtId="3" fontId="16" fillId="0" borderId="16" xfId="2" applyNumberFormat="1" applyFont="1" applyFill="1" applyBorder="1" applyAlignment="1">
      <alignment horizontal="right" vertical="center"/>
    </xf>
    <xf numFmtId="0" fontId="18" fillId="0" borderId="16" xfId="2" applyFont="1" applyBorder="1" applyAlignment="1">
      <alignment horizontal="center" vertical="center"/>
    </xf>
    <xf numFmtId="3" fontId="19" fillId="0" borderId="16" xfId="2" applyNumberFormat="1" applyFont="1" applyBorder="1" applyAlignment="1">
      <alignment horizontal="left" vertical="center" indent="2"/>
    </xf>
    <xf numFmtId="0" fontId="19" fillId="0" borderId="16" xfId="2" applyFont="1" applyBorder="1" applyAlignment="1">
      <alignment vertical="center" wrapText="1"/>
    </xf>
    <xf numFmtId="3" fontId="16" fillId="0" borderId="26" xfId="2" applyNumberFormat="1" applyFont="1" applyBorder="1" applyAlignment="1">
      <alignment horizontal="center" vertical="center" wrapText="1"/>
    </xf>
    <xf numFmtId="0" fontId="7" fillId="0" borderId="9" xfId="2" applyFont="1" applyBorder="1" applyAlignment="1">
      <alignment horizontal="center" vertical="center"/>
    </xf>
    <xf numFmtId="0" fontId="19" fillId="0" borderId="16" xfId="2" applyFont="1" applyBorder="1" applyAlignment="1">
      <alignment horizontal="left" vertical="center" wrapText="1"/>
    </xf>
    <xf numFmtId="3" fontId="20" fillId="0" borderId="0" xfId="2" applyNumberFormat="1" applyFont="1" applyBorder="1"/>
    <xf numFmtId="3" fontId="16" fillId="0" borderId="0" xfId="2" applyNumberFormat="1" applyFont="1" applyBorder="1"/>
    <xf numFmtId="0" fontId="20" fillId="0" borderId="7" xfId="2" applyFont="1" applyBorder="1" applyAlignment="1">
      <alignment horizontal="left" vertical="center"/>
    </xf>
    <xf numFmtId="3" fontId="12" fillId="4" borderId="30" xfId="2" applyNumberFormat="1" applyFont="1" applyFill="1" applyBorder="1" applyAlignment="1">
      <alignment horizontal="right" vertical="center" indent="5"/>
    </xf>
    <xf numFmtId="0" fontId="82" fillId="0" borderId="9" xfId="2" applyFont="1" applyBorder="1" applyAlignment="1">
      <alignment horizontal="center" vertical="center" wrapText="1"/>
    </xf>
    <xf numFmtId="3" fontId="19" fillId="0" borderId="9" xfId="2" applyNumberFormat="1" applyFont="1" applyBorder="1" applyAlignment="1">
      <alignment horizontal="center"/>
    </xf>
    <xf numFmtId="3" fontId="14" fillId="0" borderId="0" xfId="2" applyNumberFormat="1" applyFont="1" applyFill="1" applyAlignment="1">
      <alignment horizontal="right" vertical="center"/>
    </xf>
    <xf numFmtId="3" fontId="17" fillId="0" borderId="26" xfId="2" applyNumberFormat="1" applyFont="1" applyFill="1" applyBorder="1" applyAlignment="1">
      <alignment horizontal="center" vertical="center" wrapText="1"/>
    </xf>
    <xf numFmtId="0" fontId="1" fillId="0" borderId="0" xfId="2" applyFill="1" applyAlignment="1">
      <alignment vertical="center"/>
    </xf>
    <xf numFmtId="3" fontId="15" fillId="0" borderId="42" xfId="2" applyNumberFormat="1" applyFont="1" applyFill="1" applyBorder="1" applyAlignment="1">
      <alignment horizontal="center" vertical="center"/>
    </xf>
    <xf numFmtId="3" fontId="19" fillId="0" borderId="9" xfId="2" applyNumberFormat="1" applyFont="1" applyFill="1" applyBorder="1" applyAlignment="1">
      <alignment horizontal="center" vertical="center" wrapText="1"/>
    </xf>
    <xf numFmtId="0" fontId="83" fillId="0" borderId="0" xfId="2" applyFont="1" applyFill="1"/>
    <xf numFmtId="49" fontId="19" fillId="0" borderId="16" xfId="2" applyNumberFormat="1" applyFont="1" applyBorder="1" applyAlignment="1">
      <alignment horizontal="left" vertical="center"/>
    </xf>
    <xf numFmtId="0" fontId="16" fillId="2" borderId="6" xfId="2" applyFont="1" applyFill="1" applyBorder="1" applyAlignment="1">
      <alignment horizontal="left" vertical="center"/>
    </xf>
    <xf numFmtId="3" fontId="11" fillId="2" borderId="50" xfId="2" applyNumberFormat="1" applyFont="1" applyFill="1" applyBorder="1" applyAlignment="1">
      <alignment horizontal="right" vertical="center" indent="5"/>
    </xf>
    <xf numFmtId="3" fontId="11" fillId="2" borderId="30" xfId="2" applyNumberFormat="1" applyFont="1" applyFill="1" applyBorder="1" applyAlignment="1">
      <alignment horizontal="right" vertical="center" indent="5"/>
    </xf>
    <xf numFmtId="0" fontId="0" fillId="0" borderId="0" xfId="0" applyAlignment="1">
      <alignment horizontal="center"/>
    </xf>
    <xf numFmtId="3" fontId="16" fillId="0" borderId="0" xfId="2" applyNumberFormat="1" applyFont="1" applyBorder="1" applyAlignment="1">
      <alignment horizontal="right"/>
    </xf>
    <xf numFmtId="0" fontId="20" fillId="0" borderId="57" xfId="2" applyFont="1" applyBorder="1" applyAlignment="1">
      <alignment horizontal="left" vertical="center"/>
    </xf>
    <xf numFmtId="3" fontId="12" fillId="0" borderId="58" xfId="2" applyNumberFormat="1" applyFont="1" applyBorder="1" applyAlignment="1">
      <alignment horizontal="right" vertical="center" indent="5"/>
    </xf>
    <xf numFmtId="0" fontId="0" fillId="0" borderId="0" xfId="0" applyAlignment="1">
      <alignment horizontal="center" wrapText="1"/>
    </xf>
    <xf numFmtId="3" fontId="3" fillId="0" borderId="0" xfId="2" applyNumberFormat="1" applyFont="1"/>
    <xf numFmtId="167" fontId="0" fillId="0" borderId="0" xfId="0" applyNumberFormat="1"/>
    <xf numFmtId="167" fontId="0" fillId="0" borderId="9" xfId="0" applyNumberFormat="1" applyBorder="1"/>
    <xf numFmtId="0" fontId="85" fillId="0" borderId="9" xfId="0" applyFont="1" applyBorder="1" applyAlignment="1">
      <alignment horizontal="center" vertical="center" wrapText="1"/>
    </xf>
    <xf numFmtId="0" fontId="84" fillId="0" borderId="9" xfId="0" applyFont="1" applyBorder="1" applyAlignment="1">
      <alignment horizontal="center" vertical="center"/>
    </xf>
    <xf numFmtId="0" fontId="85" fillId="0" borderId="9" xfId="0" applyFont="1" applyBorder="1" applyAlignment="1">
      <alignment vertical="center"/>
    </xf>
    <xf numFmtId="167" fontId="0" fillId="0" borderId="9" xfId="0" applyNumberFormat="1" applyBorder="1" applyAlignment="1">
      <alignment vertical="center"/>
    </xf>
    <xf numFmtId="0" fontId="0" fillId="0" borderId="0" xfId="0" applyAlignment="1">
      <alignment vertical="center"/>
    </xf>
    <xf numFmtId="14" fontId="0" fillId="0" borderId="9" xfId="0" applyNumberFormat="1" applyBorder="1" applyAlignment="1">
      <alignment horizontal="center"/>
    </xf>
    <xf numFmtId="0" fontId="86" fillId="0" borderId="9" xfId="0" applyFont="1" applyBorder="1" applyAlignment="1">
      <alignment horizontal="center" vertical="center"/>
    </xf>
    <xf numFmtId="167" fontId="86" fillId="0" borderId="9" xfId="0" applyNumberFormat="1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167" fontId="84" fillId="0" borderId="9" xfId="0" applyNumberFormat="1" applyFont="1" applyBorder="1" applyAlignment="1">
      <alignment vertical="center"/>
    </xf>
    <xf numFmtId="164" fontId="69" fillId="0" borderId="49" xfId="1" applyNumberFormat="1" applyFont="1" applyBorder="1"/>
    <xf numFmtId="0" fontId="70" fillId="0" borderId="9" xfId="0" applyFont="1" applyBorder="1" applyAlignment="1">
      <alignment horizontal="center" vertical="center"/>
    </xf>
    <xf numFmtId="164" fontId="69" fillId="0" borderId="25" xfId="1" applyNumberFormat="1" applyFont="1" applyBorder="1"/>
    <xf numFmtId="164" fontId="69" fillId="0" borderId="23" xfId="1" applyNumberFormat="1" applyFont="1" applyBorder="1" applyAlignment="1">
      <alignment horizontal="left"/>
    </xf>
    <xf numFmtId="0" fontId="0" fillId="0" borderId="9" xfId="0" applyBorder="1" applyAlignment="1">
      <alignment vertical="center"/>
    </xf>
    <xf numFmtId="0" fontId="28" fillId="0" borderId="0" xfId="0" applyFont="1" applyAlignment="1">
      <alignment vertical="center" wrapText="1"/>
    </xf>
    <xf numFmtId="0" fontId="28" fillId="0" borderId="0" xfId="0" applyFont="1" applyAlignment="1"/>
    <xf numFmtId="0" fontId="63" fillId="0" borderId="0" xfId="0" applyFont="1" applyAlignment="1"/>
    <xf numFmtId="0" fontId="24" fillId="0" borderId="0" xfId="2" applyFont="1" applyBorder="1" applyAlignment="1">
      <alignment horizontal="center" vertical="center" wrapText="1"/>
    </xf>
    <xf numFmtId="3" fontId="20" fillId="0" borderId="52" xfId="2" applyNumberFormat="1" applyFont="1" applyBorder="1" applyAlignment="1">
      <alignment horizontal="right"/>
    </xf>
    <xf numFmtId="3" fontId="19" fillId="0" borderId="52" xfId="2" applyNumberFormat="1" applyFont="1" applyBorder="1" applyAlignment="1">
      <alignment horizontal="right"/>
    </xf>
    <xf numFmtId="0" fontId="1" fillId="0" borderId="0" xfId="2" applyBorder="1" applyAlignment="1">
      <alignment horizontal="right"/>
    </xf>
    <xf numFmtId="3" fontId="11" fillId="0" borderId="26" xfId="2" applyNumberFormat="1" applyFont="1" applyFill="1" applyBorder="1" applyAlignment="1">
      <alignment vertical="center" wrapText="1"/>
    </xf>
    <xf numFmtId="3" fontId="64" fillId="0" borderId="26" xfId="2" applyNumberFormat="1" applyFont="1" applyFill="1" applyBorder="1" applyAlignment="1">
      <alignment vertical="center" wrapText="1"/>
    </xf>
    <xf numFmtId="49" fontId="14" fillId="0" borderId="26" xfId="2" applyNumberFormat="1" applyFont="1" applyBorder="1" applyAlignment="1">
      <alignment vertical="center"/>
    </xf>
    <xf numFmtId="0" fontId="14" fillId="0" borderId="29" xfId="2" applyFont="1" applyBorder="1" applyAlignment="1">
      <alignment vertical="center" wrapText="1"/>
    </xf>
    <xf numFmtId="0" fontId="19" fillId="3" borderId="29" xfId="2" applyFont="1" applyFill="1" applyBorder="1" applyAlignment="1">
      <alignment horizontal="left" vertical="center" wrapText="1"/>
    </xf>
    <xf numFmtId="3" fontId="10" fillId="2" borderId="16" xfId="2" applyNumberFormat="1" applyFont="1" applyFill="1" applyBorder="1" applyAlignment="1">
      <alignment horizontal="right" vertical="center" indent="2"/>
    </xf>
    <xf numFmtId="49" fontId="19" fillId="0" borderId="26" xfId="2" applyNumberFormat="1" applyFont="1" applyBorder="1" applyAlignment="1">
      <alignment horizontal="left" vertical="center"/>
    </xf>
    <xf numFmtId="49" fontId="19" fillId="0" borderId="26" xfId="2" applyNumberFormat="1" applyFont="1" applyBorder="1" applyAlignment="1">
      <alignment horizontal="left" vertical="center" wrapText="1"/>
    </xf>
    <xf numFmtId="0" fontId="7" fillId="0" borderId="9" xfId="2" applyFont="1" applyBorder="1" applyAlignment="1">
      <alignment horizontal="center" vertical="center"/>
    </xf>
    <xf numFmtId="0" fontId="21" fillId="0" borderId="9" xfId="2" applyFont="1" applyFill="1" applyBorder="1" applyAlignment="1">
      <alignment horizontal="center" vertical="center" wrapText="1"/>
    </xf>
    <xf numFmtId="0" fontId="70" fillId="0" borderId="54" xfId="0" applyFont="1" applyBorder="1" applyAlignment="1">
      <alignment horizontal="center" vertical="center"/>
    </xf>
    <xf numFmtId="3" fontId="75" fillId="0" borderId="16" xfId="2" applyNumberFormat="1" applyFont="1" applyBorder="1" applyAlignment="1">
      <alignment horizontal="right" vertical="center" indent="1"/>
    </xf>
    <xf numFmtId="3" fontId="75" fillId="3" borderId="16" xfId="2" applyNumberFormat="1" applyFont="1" applyFill="1" applyBorder="1" applyAlignment="1">
      <alignment horizontal="right" vertical="center" indent="1"/>
    </xf>
    <xf numFmtId="0" fontId="1" fillId="6" borderId="0" xfId="2" applyFill="1"/>
    <xf numFmtId="3" fontId="75" fillId="0" borderId="16" xfId="2" applyNumberFormat="1" applyFont="1" applyBorder="1" applyAlignment="1">
      <alignment horizontal="right" vertical="center" indent="2"/>
    </xf>
    <xf numFmtId="3" fontId="75" fillId="4" borderId="16" xfId="2" applyNumberFormat="1" applyFont="1" applyFill="1" applyBorder="1" applyAlignment="1">
      <alignment horizontal="right" vertical="center" indent="1"/>
    </xf>
    <xf numFmtId="3" fontId="75" fillId="3" borderId="16" xfId="2" applyNumberFormat="1" applyFont="1" applyFill="1" applyBorder="1" applyAlignment="1">
      <alignment horizontal="right" vertical="center" indent="2"/>
    </xf>
    <xf numFmtId="3" fontId="17" fillId="0" borderId="55" xfId="2" applyNumberFormat="1" applyFont="1" applyBorder="1" applyAlignment="1">
      <alignment horizontal="center" vertical="center" wrapText="1"/>
    </xf>
    <xf numFmtId="3" fontId="16" fillId="0" borderId="55" xfId="2" applyNumberFormat="1" applyFont="1" applyBorder="1" applyAlignment="1">
      <alignment horizontal="center" vertical="center" wrapText="1"/>
    </xf>
    <xf numFmtId="3" fontId="16" fillId="2" borderId="27" xfId="2" applyNumberFormat="1" applyFont="1" applyFill="1" applyBorder="1" applyAlignment="1">
      <alignment horizontal="center" vertical="center" wrapText="1"/>
    </xf>
    <xf numFmtId="3" fontId="10" fillId="2" borderId="30" xfId="2" applyNumberFormat="1" applyFont="1" applyFill="1" applyBorder="1" applyAlignment="1">
      <alignment horizontal="right" vertical="center" indent="5"/>
    </xf>
    <xf numFmtId="3" fontId="11" fillId="0" borderId="26" xfId="2" applyNumberFormat="1" applyFont="1" applyFill="1" applyBorder="1" applyAlignment="1">
      <alignment horizontal="center" vertical="center" wrapText="1"/>
    </xf>
    <xf numFmtId="3" fontId="64" fillId="0" borderId="26" xfId="2" applyNumberFormat="1" applyFont="1" applyFill="1" applyBorder="1" applyAlignment="1">
      <alignment horizontal="center" vertical="center" wrapText="1"/>
    </xf>
    <xf numFmtId="3" fontId="11" fillId="0" borderId="16" xfId="2" applyNumberFormat="1" applyFont="1" applyFill="1" applyBorder="1" applyAlignment="1">
      <alignment horizontal="center" vertical="center" wrapText="1"/>
    </xf>
    <xf numFmtId="3" fontId="16" fillId="0" borderId="16" xfId="2" applyNumberFormat="1" applyFont="1" applyBorder="1" applyAlignment="1">
      <alignment vertical="center" wrapText="1"/>
    </xf>
    <xf numFmtId="3" fontId="12" fillId="0" borderId="16" xfId="2" applyNumberFormat="1" applyFont="1" applyFill="1" applyBorder="1" applyAlignment="1">
      <alignment horizontal="center" vertical="center" wrapText="1"/>
    </xf>
    <xf numFmtId="3" fontId="12" fillId="0" borderId="0" xfId="2" quotePrefix="1" applyNumberFormat="1" applyFont="1" applyAlignment="1">
      <alignment horizontal="center"/>
    </xf>
    <xf numFmtId="0" fontId="42" fillId="0" borderId="16" xfId="2" applyFont="1" applyFill="1" applyBorder="1" applyAlignment="1">
      <alignment horizontal="center" vertical="center"/>
    </xf>
    <xf numFmtId="0" fontId="42" fillId="0" borderId="0" xfId="2" applyFont="1" applyFill="1"/>
    <xf numFmtId="0" fontId="42" fillId="0" borderId="9" xfId="2" applyFont="1" applyFill="1" applyBorder="1" applyAlignment="1">
      <alignment horizontal="left"/>
    </xf>
    <xf numFmtId="3" fontId="42" fillId="0" borderId="25" xfId="2" applyNumberFormat="1" applyFont="1" applyFill="1" applyBorder="1" applyAlignment="1">
      <alignment horizontal="right" indent="1"/>
    </xf>
    <xf numFmtId="3" fontId="42" fillId="0" borderId="9" xfId="2" applyNumberFormat="1" applyFont="1" applyFill="1" applyBorder="1" applyAlignment="1">
      <alignment horizontal="right" indent="1"/>
    </xf>
    <xf numFmtId="0" fontId="21" fillId="2" borderId="9" xfId="2" applyFont="1" applyFill="1" applyBorder="1" applyAlignment="1">
      <alignment horizontal="left"/>
    </xf>
    <xf numFmtId="3" fontId="21" fillId="2" borderId="9" xfId="2" applyNumberFormat="1" applyFont="1" applyFill="1" applyBorder="1" applyAlignment="1">
      <alignment horizontal="right" indent="1"/>
    </xf>
    <xf numFmtId="0" fontId="21" fillId="0" borderId="0" xfId="2" applyFont="1" applyFill="1"/>
    <xf numFmtId="3" fontId="21" fillId="0" borderId="0" xfId="2" applyNumberFormat="1" applyFont="1" applyFill="1"/>
    <xf numFmtId="0" fontId="21" fillId="2" borderId="9" xfId="2" applyFont="1" applyFill="1" applyBorder="1"/>
    <xf numFmtId="3" fontId="42" fillId="0" borderId="0" xfId="2" applyNumberFormat="1" applyFont="1" applyFill="1"/>
    <xf numFmtId="0" fontId="16" fillId="0" borderId="0" xfId="2" applyFont="1" applyFill="1" applyAlignment="1">
      <alignment vertical="center" wrapText="1"/>
    </xf>
    <xf numFmtId="0" fontId="42" fillId="0" borderId="9" xfId="2" applyFont="1" applyFill="1" applyBorder="1" applyAlignment="1">
      <alignment horizontal="left" vertical="center" wrapText="1"/>
    </xf>
    <xf numFmtId="3" fontId="42" fillId="0" borderId="9" xfId="2" applyNumberFormat="1" applyFont="1" applyFill="1" applyBorder="1" applyAlignment="1">
      <alignment horizontal="right" vertical="center" wrapText="1"/>
    </xf>
    <xf numFmtId="0" fontId="21" fillId="0" borderId="0" xfId="2" applyFont="1" applyFill="1" applyAlignment="1">
      <alignment vertical="center" wrapText="1"/>
    </xf>
    <xf numFmtId="3" fontId="21" fillId="0" borderId="0" xfId="2" applyNumberFormat="1" applyFont="1" applyFill="1" applyAlignment="1">
      <alignment vertical="center" wrapText="1"/>
    </xf>
    <xf numFmtId="0" fontId="19" fillId="3" borderId="9" xfId="2" applyFont="1" applyFill="1" applyBorder="1" applyAlignment="1">
      <alignment horizontal="center"/>
    </xf>
    <xf numFmtId="0" fontId="19" fillId="0" borderId="9" xfId="2" applyFont="1" applyFill="1" applyBorder="1" applyAlignment="1">
      <alignment wrapText="1"/>
    </xf>
    <xf numFmtId="0" fontId="19" fillId="0" borderId="9" xfId="2" applyFont="1" applyFill="1" applyBorder="1" applyAlignment="1">
      <alignment horizontal="center" vertical="center"/>
    </xf>
    <xf numFmtId="3" fontId="10" fillId="2" borderId="9" xfId="2" applyNumberFormat="1" applyFont="1" applyFill="1" applyBorder="1" applyAlignment="1">
      <alignment horizontal="center" vertical="center" wrapText="1"/>
    </xf>
    <xf numFmtId="3" fontId="10" fillId="2" borderId="9" xfId="2" applyNumberFormat="1" applyFont="1" applyFill="1" applyBorder="1" applyAlignment="1">
      <alignment horizontal="center"/>
    </xf>
    <xf numFmtId="0" fontId="19" fillId="0" borderId="43" xfId="2" applyFont="1" applyBorder="1"/>
    <xf numFmtId="0" fontId="1" fillId="0" borderId="8" xfId="2" applyBorder="1"/>
    <xf numFmtId="0" fontId="21" fillId="0" borderId="0" xfId="2" applyFont="1" applyBorder="1" applyAlignment="1">
      <alignment horizontal="center" vertical="center" wrapText="1"/>
    </xf>
    <xf numFmtId="0" fontId="19" fillId="0" borderId="53" xfId="2" applyFont="1" applyBorder="1"/>
    <xf numFmtId="0" fontId="19" fillId="0" borderId="0" xfId="2" applyFont="1" applyBorder="1"/>
    <xf numFmtId="0" fontId="19" fillId="0" borderId="0" xfId="2" applyFont="1" applyBorder="1" applyAlignment="1">
      <alignment horizontal="center"/>
    </xf>
    <xf numFmtId="0" fontId="72" fillId="0" borderId="0" xfId="2" applyFont="1" applyBorder="1"/>
    <xf numFmtId="0" fontId="68" fillId="0" borderId="0" xfId="2" applyFont="1" applyBorder="1"/>
    <xf numFmtId="0" fontId="68" fillId="0" borderId="0" xfId="2" applyFont="1" applyBorder="1" applyAlignment="1">
      <alignment horizontal="center"/>
    </xf>
    <xf numFmtId="3" fontId="68" fillId="0" borderId="0" xfId="2" applyNumberFormat="1" applyFont="1" applyBorder="1"/>
    <xf numFmtId="0" fontId="68" fillId="0" borderId="53" xfId="2" applyFont="1" applyBorder="1"/>
    <xf numFmtId="0" fontId="1" fillId="0" borderId="55" xfId="2" applyBorder="1"/>
    <xf numFmtId="0" fontId="72" fillId="0" borderId="52" xfId="2" applyFont="1" applyBorder="1"/>
    <xf numFmtId="0" fontId="68" fillId="0" borderId="52" xfId="2" applyFont="1" applyBorder="1"/>
    <xf numFmtId="0" fontId="68" fillId="0" borderId="52" xfId="2" applyFont="1" applyBorder="1" applyAlignment="1">
      <alignment horizontal="center"/>
    </xf>
    <xf numFmtId="3" fontId="68" fillId="0" borderId="52" xfId="2" applyNumberFormat="1" applyFont="1" applyBorder="1"/>
    <xf numFmtId="0" fontId="68" fillId="0" borderId="59" xfId="2" applyFont="1" applyBorder="1"/>
    <xf numFmtId="0" fontId="84" fillId="0" borderId="0" xfId="0" applyFont="1" applyBorder="1" applyAlignment="1">
      <alignment horizontal="center" vertical="center"/>
    </xf>
    <xf numFmtId="167" fontId="0" fillId="0" borderId="0" xfId="0" applyNumberFormat="1" applyBorder="1" applyAlignment="1">
      <alignment vertical="center"/>
    </xf>
    <xf numFmtId="167" fontId="0" fillId="0" borderId="0" xfId="0" applyNumberFormat="1" applyBorder="1"/>
    <xf numFmtId="167" fontId="86" fillId="0" borderId="0" xfId="0" applyNumberFormat="1" applyFont="1" applyBorder="1" applyAlignment="1">
      <alignment horizontal="center" vertical="center"/>
    </xf>
    <xf numFmtId="0" fontId="10" fillId="0" borderId="16" xfId="3" applyFont="1" applyFill="1" applyBorder="1" applyAlignment="1">
      <alignment vertical="center"/>
    </xf>
    <xf numFmtId="0" fontId="70" fillId="0" borderId="10" xfId="0" applyFont="1" applyBorder="1" applyAlignment="1"/>
    <xf numFmtId="0" fontId="21" fillId="0" borderId="9" xfId="2" applyFont="1" applyFill="1" applyBorder="1" applyAlignment="1">
      <alignment horizontal="center" vertical="center" wrapText="1"/>
    </xf>
    <xf numFmtId="3" fontId="1" fillId="0" borderId="0" xfId="2" applyNumberFormat="1" applyFont="1"/>
    <xf numFmtId="0" fontId="1" fillId="0" borderId="0" xfId="2" applyFont="1"/>
    <xf numFmtId="3" fontId="1" fillId="0" borderId="0" xfId="2" applyNumberFormat="1" applyFont="1" applyAlignment="1">
      <alignment vertical="center"/>
    </xf>
    <xf numFmtId="49" fontId="19" fillId="0" borderId="28" xfId="2" applyNumberFormat="1" applyFont="1" applyBorder="1" applyAlignment="1">
      <alignment vertical="center"/>
    </xf>
    <xf numFmtId="49" fontId="19" fillId="0" borderId="56" xfId="2" applyNumberFormat="1" applyFont="1" applyBorder="1" applyAlignment="1">
      <alignment vertical="center"/>
    </xf>
    <xf numFmtId="0" fontId="19" fillId="0" borderId="16" xfId="2" applyFont="1" applyFill="1" applyBorder="1" applyAlignment="1">
      <alignment vertical="center"/>
    </xf>
    <xf numFmtId="49" fontId="19" fillId="0" borderId="16" xfId="2" applyNumberFormat="1" applyFont="1" applyFill="1" applyBorder="1" applyAlignment="1">
      <alignment vertical="center"/>
    </xf>
    <xf numFmtId="0" fontId="19" fillId="0" borderId="16" xfId="2" applyFont="1" applyFill="1" applyBorder="1" applyAlignment="1">
      <alignment vertical="center" wrapText="1"/>
    </xf>
    <xf numFmtId="3" fontId="19" fillId="0" borderId="16" xfId="2" applyNumberFormat="1" applyFont="1" applyFill="1" applyBorder="1" applyAlignment="1">
      <alignment horizontal="right" vertical="center" indent="2"/>
    </xf>
    <xf numFmtId="43" fontId="1" fillId="0" borderId="0" xfId="1" applyFont="1"/>
    <xf numFmtId="43" fontId="1" fillId="0" borderId="0" xfId="2" applyNumberFormat="1"/>
    <xf numFmtId="3" fontId="6" fillId="0" borderId="0" xfId="2" applyNumberFormat="1" applyFont="1" applyFill="1" applyBorder="1" applyAlignment="1">
      <alignment horizontal="right" vertical="center" indent="2"/>
    </xf>
    <xf numFmtId="3" fontId="19" fillId="0" borderId="9" xfId="2" applyNumberFormat="1" applyFont="1" applyFill="1" applyBorder="1"/>
    <xf numFmtId="0" fontId="19" fillId="0" borderId="10" xfId="2" quotePrefix="1" applyFont="1" applyBorder="1" applyAlignment="1">
      <alignment horizontal="center"/>
    </xf>
    <xf numFmtId="3" fontId="21" fillId="2" borderId="9" xfId="2" applyNumberFormat="1" applyFont="1" applyFill="1" applyBorder="1" applyAlignment="1">
      <alignment horizontal="center" vertical="center"/>
    </xf>
    <xf numFmtId="167" fontId="0" fillId="0" borderId="0" xfId="0" applyNumberFormat="1" applyFill="1" applyBorder="1"/>
    <xf numFmtId="0" fontId="0" fillId="0" borderId="0" xfId="0" applyFill="1"/>
    <xf numFmtId="3" fontId="19" fillId="0" borderId="9" xfId="2" applyNumberFormat="1" applyFont="1" applyFill="1" applyBorder="1" applyAlignment="1">
      <alignment horizontal="right"/>
    </xf>
    <xf numFmtId="0" fontId="66" fillId="0" borderId="0" xfId="2" applyFont="1" applyAlignment="1">
      <alignment vertical="center"/>
    </xf>
    <xf numFmtId="0" fontId="62" fillId="0" borderId="0" xfId="0" applyFont="1" applyAlignment="1">
      <alignment wrapText="1"/>
    </xf>
    <xf numFmtId="0" fontId="10" fillId="0" borderId="9" xfId="2" applyFont="1" applyBorder="1" applyAlignment="1">
      <alignment horizontal="left" vertical="center"/>
    </xf>
    <xf numFmtId="0" fontId="10" fillId="0" borderId="36" xfId="2" applyFont="1" applyBorder="1" applyAlignment="1">
      <alignment horizontal="left" vertical="center"/>
    </xf>
    <xf numFmtId="0" fontId="5" fillId="0" borderId="44" xfId="2" applyFont="1" applyBorder="1" applyAlignment="1">
      <alignment horizontal="left" vertical="center"/>
    </xf>
    <xf numFmtId="0" fontId="5" fillId="0" borderId="38" xfId="2" applyFont="1" applyBorder="1" applyAlignment="1">
      <alignment horizontal="left" vertical="center"/>
    </xf>
    <xf numFmtId="0" fontId="2" fillId="0" borderId="0" xfId="2" applyFont="1" applyAlignment="1">
      <alignment horizontal="center" vertical="center"/>
    </xf>
    <xf numFmtId="0" fontId="56" fillId="0" borderId="0" xfId="2" applyFont="1" applyAlignment="1">
      <alignment horizontal="center" vertical="center"/>
    </xf>
    <xf numFmtId="0" fontId="5" fillId="0" borderId="16" xfId="2" applyFont="1" applyBorder="1" applyAlignment="1">
      <alignment horizontal="center" vertical="center"/>
    </xf>
    <xf numFmtId="0" fontId="5" fillId="0" borderId="51" xfId="2" applyFont="1" applyBorder="1" applyAlignment="1">
      <alignment horizontal="left" vertical="center"/>
    </xf>
    <xf numFmtId="0" fontId="5" fillId="0" borderId="19" xfId="2" applyFont="1" applyBorder="1" applyAlignment="1">
      <alignment horizontal="left" vertical="center"/>
    </xf>
    <xf numFmtId="0" fontId="5" fillId="0" borderId="9" xfId="2" applyFont="1" applyBorder="1" applyAlignment="1">
      <alignment horizontal="left" vertical="center"/>
    </xf>
    <xf numFmtId="0" fontId="5" fillId="0" borderId="36" xfId="2" applyFont="1" applyBorder="1" applyAlignment="1">
      <alignment horizontal="left" vertical="center"/>
    </xf>
    <xf numFmtId="0" fontId="10" fillId="0" borderId="9" xfId="2" applyFont="1" applyBorder="1" applyAlignment="1">
      <alignment horizontal="left" vertical="center" wrapText="1"/>
    </xf>
    <xf numFmtId="0" fontId="10" fillId="0" borderId="36" xfId="2" applyFont="1" applyBorder="1" applyAlignment="1">
      <alignment horizontal="left" vertical="center" wrapText="1"/>
    </xf>
    <xf numFmtId="0" fontId="24" fillId="0" borderId="0" xfId="2" applyFont="1" applyBorder="1" applyAlignment="1">
      <alignment horizontal="center" vertical="center" wrapText="1"/>
    </xf>
    <xf numFmtId="0" fontId="29" fillId="0" borderId="0" xfId="2" applyFont="1" applyAlignment="1">
      <alignment horizontal="center" vertical="center"/>
    </xf>
    <xf numFmtId="164" fontId="16" fillId="6" borderId="8" xfId="1" applyNumberFormat="1" applyFont="1" applyFill="1" applyBorder="1" applyAlignment="1">
      <alignment horizontal="center" vertical="center" wrapText="1"/>
    </xf>
    <xf numFmtId="3" fontId="20" fillId="0" borderId="8" xfId="2" applyNumberFormat="1" applyFont="1" applyBorder="1" applyAlignment="1">
      <alignment horizontal="center" vertical="center"/>
    </xf>
    <xf numFmtId="0" fontId="20" fillId="0" borderId="8" xfId="2" applyFont="1" applyBorder="1" applyAlignment="1">
      <alignment horizontal="center" vertical="center"/>
    </xf>
    <xf numFmtId="3" fontId="1" fillId="7" borderId="8" xfId="2" applyNumberFormat="1" applyFill="1" applyBorder="1" applyAlignment="1">
      <alignment horizontal="center" vertical="center"/>
    </xf>
    <xf numFmtId="0" fontId="7" fillId="0" borderId="9" xfId="2" applyFont="1" applyBorder="1" applyAlignment="1">
      <alignment horizontal="center" vertical="center"/>
    </xf>
    <xf numFmtId="0" fontId="5" fillId="0" borderId="0" xfId="2" applyFont="1" applyAlignment="1">
      <alignment horizontal="center"/>
    </xf>
    <xf numFmtId="0" fontId="3" fillId="0" borderId="0" xfId="2" applyFont="1" applyBorder="1" applyAlignment="1">
      <alignment horizontal="right"/>
    </xf>
    <xf numFmtId="0" fontId="5" fillId="0" borderId="0" xfId="2" applyFont="1" applyAlignment="1">
      <alignment horizontal="center" vertical="center" wrapText="1"/>
    </xf>
    <xf numFmtId="0" fontId="11" fillId="0" borderId="16" xfId="2" applyFont="1" applyFill="1" applyBorder="1" applyAlignment="1">
      <alignment horizontal="left" vertical="center" wrapText="1"/>
    </xf>
    <xf numFmtId="0" fontId="11" fillId="0" borderId="26" xfId="2" applyFont="1" applyFill="1" applyBorder="1" applyAlignment="1">
      <alignment horizontal="center" vertical="center" wrapText="1"/>
    </xf>
    <xf numFmtId="0" fontId="11" fillId="0" borderId="29" xfId="2" applyFont="1" applyFill="1" applyBorder="1" applyAlignment="1">
      <alignment horizontal="center" vertical="center" wrapText="1"/>
    </xf>
    <xf numFmtId="3" fontId="11" fillId="0" borderId="0" xfId="2" applyNumberFormat="1" applyFont="1" applyFill="1" applyBorder="1" applyAlignment="1">
      <alignment horizontal="center" vertical="center" wrapText="1"/>
    </xf>
    <xf numFmtId="3" fontId="11" fillId="0" borderId="16" xfId="2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10" fillId="0" borderId="0" xfId="2" applyFont="1" applyFill="1" applyBorder="1" applyAlignment="1">
      <alignment horizontal="center" vertical="center"/>
    </xf>
    <xf numFmtId="0" fontId="11" fillId="0" borderId="16" xfId="2" applyFont="1" applyFill="1" applyBorder="1" applyAlignment="1">
      <alignment horizontal="center" vertical="center" wrapText="1"/>
    </xf>
    <xf numFmtId="0" fontId="11" fillId="0" borderId="26" xfId="2" applyFont="1" applyFill="1" applyBorder="1" applyAlignment="1">
      <alignment horizontal="center" vertical="center"/>
    </xf>
    <xf numFmtId="0" fontId="11" fillId="0" borderId="35" xfId="2" applyFont="1" applyFill="1" applyBorder="1" applyAlignment="1">
      <alignment horizontal="center" vertical="center"/>
    </xf>
    <xf numFmtId="0" fontId="11" fillId="0" borderId="55" xfId="2" applyFont="1" applyFill="1" applyBorder="1" applyAlignment="1">
      <alignment horizontal="center" vertical="center"/>
    </xf>
    <xf numFmtId="0" fontId="11" fillId="0" borderId="52" xfId="2" applyFont="1" applyFill="1" applyBorder="1" applyAlignment="1">
      <alignment horizontal="center" vertical="center"/>
    </xf>
    <xf numFmtId="0" fontId="11" fillId="0" borderId="0" xfId="2" applyFont="1" applyFill="1" applyBorder="1" applyAlignment="1">
      <alignment horizontal="center" vertical="center"/>
    </xf>
    <xf numFmtId="3" fontId="16" fillId="0" borderId="15" xfId="2" applyNumberFormat="1" applyFont="1" applyBorder="1" applyAlignment="1">
      <alignment horizontal="center" vertical="center" wrapText="1"/>
    </xf>
    <xf numFmtId="3" fontId="16" fillId="0" borderId="28" xfId="2" applyNumberFormat="1" applyFont="1" applyBorder="1" applyAlignment="1">
      <alignment horizontal="center" vertical="center" wrapText="1"/>
    </xf>
    <xf numFmtId="0" fontId="18" fillId="0" borderId="16" xfId="2" applyFont="1" applyBorder="1" applyAlignment="1">
      <alignment horizontal="center" vertical="center"/>
    </xf>
    <xf numFmtId="0" fontId="10" fillId="2" borderId="26" xfId="2" applyFont="1" applyFill="1" applyBorder="1" applyAlignment="1">
      <alignment horizontal="center" vertical="center"/>
    </xf>
    <xf numFmtId="0" fontId="10" fillId="2" borderId="29" xfId="2" applyFont="1" applyFill="1" applyBorder="1" applyAlignment="1">
      <alignment horizontal="center" vertical="center"/>
    </xf>
    <xf numFmtId="0" fontId="18" fillId="3" borderId="15" xfId="2" applyFont="1" applyFill="1" applyBorder="1" applyAlignment="1">
      <alignment horizontal="center" vertical="center"/>
    </xf>
    <xf numFmtId="0" fontId="18" fillId="3" borderId="27" xfId="2" applyFont="1" applyFill="1" applyBorder="1" applyAlignment="1">
      <alignment horizontal="center" vertical="center"/>
    </xf>
    <xf numFmtId="0" fontId="18" fillId="3" borderId="28" xfId="2" applyFont="1" applyFill="1" applyBorder="1" applyAlignment="1">
      <alignment horizontal="center" vertical="center"/>
    </xf>
    <xf numFmtId="49" fontId="10" fillId="2" borderId="26" xfId="2" applyNumberFormat="1" applyFont="1" applyFill="1" applyBorder="1" applyAlignment="1">
      <alignment horizontal="center" vertical="center" wrapText="1"/>
    </xf>
    <xf numFmtId="49" fontId="10" fillId="2" borderId="29" xfId="2" applyNumberFormat="1" applyFont="1" applyFill="1" applyBorder="1" applyAlignment="1">
      <alignment horizontal="center" vertical="center" wrapText="1"/>
    </xf>
    <xf numFmtId="0" fontId="10" fillId="2" borderId="16" xfId="2" applyFont="1" applyFill="1" applyBorder="1" applyAlignment="1">
      <alignment horizontal="left" vertical="center"/>
    </xf>
    <xf numFmtId="3" fontId="16" fillId="2" borderId="15" xfId="2" applyNumberFormat="1" applyFont="1" applyFill="1" applyBorder="1" applyAlignment="1">
      <alignment horizontal="center" vertical="center" wrapText="1"/>
    </xf>
    <xf numFmtId="3" fontId="16" fillId="2" borderId="28" xfId="2" applyNumberFormat="1" applyFont="1" applyFill="1" applyBorder="1" applyAlignment="1">
      <alignment horizontal="center" vertical="center" wrapText="1"/>
    </xf>
    <xf numFmtId="0" fontId="66" fillId="0" borderId="0" xfId="2" applyFont="1" applyAlignment="1">
      <alignment horizontal="center" vertical="center"/>
    </xf>
    <xf numFmtId="0" fontId="16" fillId="0" borderId="15" xfId="2" applyFont="1" applyBorder="1" applyAlignment="1">
      <alignment horizontal="center" vertical="center"/>
    </xf>
    <xf numFmtId="0" fontId="16" fillId="0" borderId="27" xfId="2" applyFont="1" applyBorder="1" applyAlignment="1">
      <alignment horizontal="center" vertical="center"/>
    </xf>
    <xf numFmtId="0" fontId="17" fillId="0" borderId="15" xfId="2" applyFont="1" applyBorder="1" applyAlignment="1">
      <alignment horizontal="center" vertical="center" textRotation="90"/>
    </xf>
    <xf numFmtId="0" fontId="17" fillId="0" borderId="28" xfId="2" applyFont="1" applyBorder="1" applyAlignment="1">
      <alignment horizontal="center" vertical="center" textRotation="90"/>
    </xf>
    <xf numFmtId="0" fontId="17" fillId="0" borderId="43" xfId="2" applyFont="1" applyBorder="1" applyAlignment="1">
      <alignment horizontal="center" vertical="center"/>
    </xf>
    <xf numFmtId="0" fontId="17" fillId="0" borderId="53" xfId="2" applyFont="1" applyBorder="1" applyAlignment="1">
      <alignment horizontal="center" vertical="center"/>
    </xf>
    <xf numFmtId="3" fontId="15" fillId="0" borderId="42" xfId="2" applyNumberFormat="1" applyFont="1" applyBorder="1" applyAlignment="1">
      <alignment horizontal="center" vertical="center"/>
    </xf>
    <xf numFmtId="0" fontId="18" fillId="0" borderId="15" xfId="2" applyFont="1" applyBorder="1" applyAlignment="1">
      <alignment horizontal="center" vertical="center"/>
    </xf>
    <xf numFmtId="0" fontId="18" fillId="0" borderId="27" xfId="2" applyFont="1" applyBorder="1" applyAlignment="1">
      <alignment horizontal="center" vertical="center"/>
    </xf>
    <xf numFmtId="0" fontId="18" fillId="0" borderId="28" xfId="2" applyFont="1" applyBorder="1" applyAlignment="1">
      <alignment horizontal="center" vertical="center"/>
    </xf>
    <xf numFmtId="0" fontId="17" fillId="0" borderId="42" xfId="2" applyFont="1" applyBorder="1" applyAlignment="1">
      <alignment horizontal="center" vertical="center"/>
    </xf>
    <xf numFmtId="3" fontId="15" fillId="0" borderId="5" xfId="2" applyNumberFormat="1" applyFont="1" applyBorder="1" applyAlignment="1">
      <alignment horizontal="center" vertical="center"/>
    </xf>
    <xf numFmtId="3" fontId="15" fillId="0" borderId="48" xfId="2" applyNumberFormat="1" applyFont="1" applyBorder="1" applyAlignment="1">
      <alignment horizontal="center" vertical="center"/>
    </xf>
    <xf numFmtId="3" fontId="15" fillId="0" borderId="39" xfId="2" applyNumberFormat="1" applyFont="1" applyBorder="1" applyAlignment="1">
      <alignment horizontal="center" vertical="center"/>
    </xf>
    <xf numFmtId="0" fontId="7" fillId="0" borderId="0" xfId="2" applyFont="1" applyAlignment="1">
      <alignment horizontal="left" vertical="center"/>
    </xf>
    <xf numFmtId="0" fontId="5" fillId="0" borderId="0" xfId="2" applyFont="1" applyAlignment="1">
      <alignment horizontal="center" vertical="center"/>
    </xf>
    <xf numFmtId="0" fontId="48" fillId="0" borderId="0" xfId="2" applyFont="1" applyAlignment="1">
      <alignment horizontal="center" vertical="center"/>
    </xf>
    <xf numFmtId="0" fontId="21" fillId="0" borderId="0" xfId="2" applyFont="1" applyFill="1" applyBorder="1" applyAlignment="1">
      <alignment horizontal="center" vertical="center" wrapText="1"/>
    </xf>
    <xf numFmtId="0" fontId="2" fillId="0" borderId="0" xfId="2" applyFont="1" applyAlignment="1">
      <alignment horizontal="center" vertical="top" wrapText="1"/>
    </xf>
    <xf numFmtId="0" fontId="21" fillId="0" borderId="0" xfId="2" applyFont="1" applyFill="1" applyAlignment="1">
      <alignment horizontal="center" vertical="center" wrapText="1"/>
    </xf>
    <xf numFmtId="0" fontId="2" fillId="0" borderId="0" xfId="2" applyFont="1" applyAlignment="1">
      <alignment horizontal="center" vertical="top"/>
    </xf>
    <xf numFmtId="0" fontId="21" fillId="2" borderId="10" xfId="2" applyFont="1" applyFill="1" applyBorder="1" applyAlignment="1">
      <alignment horizontal="left" vertical="center"/>
    </xf>
    <xf numFmtId="0" fontId="21" fillId="2" borderId="18" xfId="2" applyFont="1" applyFill="1" applyBorder="1" applyAlignment="1">
      <alignment horizontal="left" vertical="center"/>
    </xf>
    <xf numFmtId="0" fontId="21" fillId="2" borderId="11" xfId="2" applyFont="1" applyFill="1" applyBorder="1" applyAlignment="1">
      <alignment horizontal="left" vertical="center"/>
    </xf>
    <xf numFmtId="0" fontId="21" fillId="0" borderId="0" xfId="2" applyFont="1" applyAlignment="1">
      <alignment horizontal="center" vertical="center" wrapText="1"/>
    </xf>
    <xf numFmtId="0" fontId="29" fillId="0" borderId="0" xfId="2" applyFont="1" applyAlignment="1">
      <alignment horizontal="center"/>
    </xf>
    <xf numFmtId="0" fontId="21" fillId="0" borderId="54" xfId="2" applyFont="1" applyBorder="1" applyAlignment="1">
      <alignment horizontal="center" vertical="center" wrapText="1"/>
    </xf>
    <xf numFmtId="0" fontId="21" fillId="0" borderId="42" xfId="2" applyFont="1" applyBorder="1" applyAlignment="1">
      <alignment horizontal="center" vertical="center" wrapText="1"/>
    </xf>
    <xf numFmtId="0" fontId="19" fillId="0" borderId="0" xfId="2" applyFont="1" applyBorder="1" applyAlignment="1">
      <alignment horizontal="center" vertical="center"/>
    </xf>
    <xf numFmtId="0" fontId="19" fillId="0" borderId="53" xfId="2" applyFont="1" applyBorder="1" applyAlignment="1">
      <alignment horizontal="center" vertical="center"/>
    </xf>
    <xf numFmtId="0" fontId="21" fillId="0" borderId="9" xfId="2" applyFont="1" applyFill="1" applyBorder="1" applyAlignment="1">
      <alignment horizontal="center" vertical="center" wrapText="1"/>
    </xf>
    <xf numFmtId="0" fontId="21" fillId="0" borderId="9" xfId="2" applyFont="1" applyFill="1" applyBorder="1" applyAlignment="1">
      <alignment horizontal="center" vertical="center"/>
    </xf>
    <xf numFmtId="0" fontId="30" fillId="0" borderId="0" xfId="2" applyFont="1" applyAlignment="1">
      <alignment horizontal="center" vertical="center" wrapText="1"/>
    </xf>
    <xf numFmtId="0" fontId="21" fillId="0" borderId="10" xfId="2" applyFont="1" applyBorder="1" applyAlignment="1">
      <alignment horizontal="center" vertical="center" wrapText="1"/>
    </xf>
    <xf numFmtId="0" fontId="21" fillId="0" borderId="18" xfId="2" applyFont="1" applyBorder="1" applyAlignment="1">
      <alignment horizontal="center" vertical="center" wrapText="1"/>
    </xf>
    <xf numFmtId="0" fontId="21" fillId="0" borderId="60" xfId="2" applyFont="1" applyFill="1" applyBorder="1" applyAlignment="1">
      <alignment horizontal="center" vertical="center" wrapText="1"/>
    </xf>
    <xf numFmtId="0" fontId="21" fillId="0" borderId="61" xfId="2" applyFont="1" applyFill="1" applyBorder="1" applyAlignment="1">
      <alignment horizontal="center" vertical="center" wrapText="1"/>
    </xf>
    <xf numFmtId="0" fontId="29" fillId="0" borderId="0" xfId="2" applyFont="1" applyAlignment="1">
      <alignment horizontal="center" vertical="center" wrapText="1"/>
    </xf>
    <xf numFmtId="0" fontId="40" fillId="0" borderId="0" xfId="2" applyFont="1" applyAlignment="1">
      <alignment horizontal="center" vertical="center"/>
    </xf>
    <xf numFmtId="0" fontId="33" fillId="0" borderId="15" xfId="2" applyFont="1" applyBorder="1" applyAlignment="1">
      <alignment horizontal="center" vertical="center"/>
    </xf>
    <xf numFmtId="0" fontId="33" fillId="0" borderId="28" xfId="2" applyFont="1" applyBorder="1" applyAlignment="1">
      <alignment horizontal="center" vertical="center"/>
    </xf>
    <xf numFmtId="0" fontId="67" fillId="0" borderId="15" xfId="2" applyFont="1" applyBorder="1" applyAlignment="1">
      <alignment horizontal="center" vertical="center"/>
    </xf>
    <xf numFmtId="0" fontId="67" fillId="0" borderId="28" xfId="2" applyFont="1" applyBorder="1" applyAlignment="1">
      <alignment horizontal="center" vertical="center"/>
    </xf>
    <xf numFmtId="0" fontId="57" fillId="0" borderId="0" xfId="2" applyFont="1" applyAlignment="1">
      <alignment horizontal="center" wrapText="1"/>
    </xf>
    <xf numFmtId="0" fontId="85" fillId="0" borderId="0" xfId="0" applyFont="1" applyFill="1" applyBorder="1" applyAlignment="1">
      <alignment horizontal="center" vertical="center"/>
    </xf>
    <xf numFmtId="0" fontId="41" fillId="0" borderId="0" xfId="0" applyFont="1" applyAlignment="1">
      <alignment horizontal="center"/>
    </xf>
    <xf numFmtId="0" fontId="28" fillId="0" borderId="0" xfId="0" applyFont="1" applyAlignment="1">
      <alignment horizontal="center" vertical="center" wrapText="1"/>
    </xf>
    <xf numFmtId="0" fontId="28" fillId="0" borderId="0" xfId="0" applyFont="1" applyAlignment="1">
      <alignment horizontal="center"/>
    </xf>
    <xf numFmtId="0" fontId="63" fillId="0" borderId="0" xfId="0" applyFont="1" applyAlignment="1">
      <alignment horizontal="center"/>
    </xf>
    <xf numFmtId="0" fontId="41" fillId="0" borderId="0" xfId="0" applyFont="1" applyAlignment="1">
      <alignment horizontal="center" vertical="center"/>
    </xf>
    <xf numFmtId="0" fontId="40" fillId="0" borderId="0" xfId="3" applyFont="1" applyFill="1" applyAlignment="1">
      <alignment horizontal="center" vertical="center"/>
    </xf>
    <xf numFmtId="0" fontId="25" fillId="0" borderId="0" xfId="2" applyFont="1" applyFill="1" applyBorder="1" applyAlignment="1">
      <alignment horizontal="center" vertical="center"/>
    </xf>
    <xf numFmtId="0" fontId="21" fillId="3" borderId="0" xfId="2" applyFont="1" applyFill="1" applyAlignment="1">
      <alignment horizontal="center"/>
    </xf>
    <xf numFmtId="0" fontId="43" fillId="0" borderId="0" xfId="2" applyFont="1" applyAlignment="1">
      <alignment horizontal="center" vertical="center" wrapText="1"/>
    </xf>
    <xf numFmtId="0" fontId="62" fillId="0" borderId="0" xfId="0" applyFont="1" applyAlignment="1">
      <alignment horizontal="center" vertical="center" wrapText="1"/>
    </xf>
    <xf numFmtId="0" fontId="6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8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</cellXfs>
  <cellStyles count="6">
    <cellStyle name="Ezres" xfId="1" builtinId="3"/>
    <cellStyle name="Normál" xfId="0" builtinId="0"/>
    <cellStyle name="Normál 2" xfId="2"/>
    <cellStyle name="Normál_Munkafüzet1" xfId="3"/>
    <cellStyle name="Százalék" xfId="4" builtinId="5"/>
    <cellStyle name="Százalék 2" xfId="5"/>
  </cellStyles>
  <dxfs count="0"/>
  <tableStyles count="0" defaultTableStyle="TableStyleMedium2" defaultPivotStyle="PivotStyleLight16"/>
  <colors>
    <mruColors>
      <color rgb="FFFF99FF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9" tint="-0.249977111117893"/>
  </sheetPr>
  <dimension ref="A1:J67"/>
  <sheetViews>
    <sheetView view="pageBreakPreview" zoomScale="60" zoomScaleNormal="130" workbookViewId="0">
      <selection activeCell="K6" sqref="K6"/>
    </sheetView>
  </sheetViews>
  <sheetFormatPr defaultRowHeight="15.75"/>
  <cols>
    <col min="1" max="1" width="7.85546875" style="86" customWidth="1"/>
    <col min="2" max="2" width="8.42578125" style="78" customWidth="1"/>
    <col min="3" max="3" width="42.42578125" style="103" bestFit="1" customWidth="1"/>
    <col min="4" max="4" width="12.140625" style="86" customWidth="1"/>
    <col min="5" max="5" width="9.140625" style="86"/>
    <col min="6" max="6" width="12.7109375" style="87" customWidth="1"/>
    <col min="7" max="16384" width="9.140625" style="87"/>
  </cols>
  <sheetData>
    <row r="1" spans="1:10" ht="23.25" customHeight="1">
      <c r="A1" s="635" t="s">
        <v>598</v>
      </c>
      <c r="B1" s="635"/>
      <c r="C1" s="635"/>
      <c r="D1" s="635"/>
      <c r="E1" s="635"/>
      <c r="J1" s="92"/>
    </row>
    <row r="2" spans="1:10" ht="23.25" customHeight="1">
      <c r="A2" s="35"/>
      <c r="B2" s="35"/>
      <c r="C2" s="35"/>
      <c r="D2" s="35"/>
      <c r="E2" s="35"/>
      <c r="F2" s="200"/>
      <c r="J2" s="92"/>
    </row>
    <row r="3" spans="1:10" ht="31.5" customHeight="1">
      <c r="A3" s="636" t="s">
        <v>190</v>
      </c>
      <c r="B3" s="636"/>
      <c r="C3" s="636"/>
      <c r="D3" s="636"/>
      <c r="E3" s="636"/>
      <c r="F3" s="144"/>
      <c r="G3" s="144"/>
    </row>
    <row r="4" spans="1:10">
      <c r="B4" s="201"/>
      <c r="C4" s="202"/>
      <c r="D4" s="174"/>
      <c r="E4" s="174"/>
    </row>
    <row r="5" spans="1:10" ht="27.75" customHeight="1" thickBot="1">
      <c r="B5" s="201"/>
      <c r="C5" s="202"/>
      <c r="D5" s="174"/>
      <c r="E5" s="174"/>
    </row>
    <row r="6" spans="1:10" ht="72" customHeight="1" thickBot="1">
      <c r="B6" s="239" t="s">
        <v>215</v>
      </c>
      <c r="C6" s="637" t="s">
        <v>216</v>
      </c>
      <c r="D6" s="637"/>
      <c r="E6" s="174"/>
    </row>
    <row r="7" spans="1:10" ht="30" customHeight="1">
      <c r="B7" s="240" t="s">
        <v>38</v>
      </c>
      <c r="C7" s="638" t="s">
        <v>191</v>
      </c>
      <c r="D7" s="639"/>
      <c r="E7" s="203"/>
    </row>
    <row r="8" spans="1:10" ht="30" customHeight="1">
      <c r="B8" s="241" t="s">
        <v>39</v>
      </c>
      <c r="C8" s="640" t="s">
        <v>238</v>
      </c>
      <c r="D8" s="641"/>
      <c r="E8" s="203"/>
    </row>
    <row r="9" spans="1:10" ht="30" customHeight="1">
      <c r="B9" s="241" t="s">
        <v>41</v>
      </c>
      <c r="C9" s="642" t="s">
        <v>239</v>
      </c>
      <c r="D9" s="643"/>
      <c r="E9" s="74"/>
    </row>
    <row r="10" spans="1:10" ht="30" customHeight="1">
      <c r="B10" s="241" t="s">
        <v>43</v>
      </c>
      <c r="C10" s="631" t="s">
        <v>218</v>
      </c>
      <c r="D10" s="632"/>
      <c r="E10" s="204"/>
    </row>
    <row r="11" spans="1:10" ht="30" customHeight="1" thickBot="1">
      <c r="B11" s="242" t="s">
        <v>213</v>
      </c>
      <c r="C11" s="633" t="s">
        <v>222</v>
      </c>
      <c r="D11" s="634"/>
      <c r="E11" s="203"/>
    </row>
    <row r="12" spans="1:10" ht="30" customHeight="1">
      <c r="B12" s="201"/>
      <c r="C12" s="205"/>
      <c r="D12" s="203"/>
      <c r="E12" s="203"/>
    </row>
    <row r="13" spans="1:10" ht="30" customHeight="1">
      <c r="B13" s="174"/>
      <c r="C13" s="174"/>
      <c r="D13" s="87"/>
      <c r="E13" s="87"/>
    </row>
    <row r="14" spans="1:10" ht="30" customHeight="1">
      <c r="B14" s="174"/>
      <c r="C14" s="174"/>
      <c r="D14" s="87"/>
      <c r="E14" s="87"/>
    </row>
    <row r="15" spans="1:10" ht="30" customHeight="1">
      <c r="B15" s="174"/>
      <c r="C15" s="174"/>
      <c r="D15" s="87"/>
      <c r="E15" s="87"/>
    </row>
    <row r="16" spans="1:10" ht="30" customHeight="1">
      <c r="B16" s="174"/>
      <c r="C16" s="174"/>
      <c r="D16" s="87"/>
      <c r="E16" s="87"/>
    </row>
    <row r="17" spans="2:5" ht="30" customHeight="1">
      <c r="B17" s="174"/>
      <c r="C17" s="174"/>
      <c r="D17" s="87"/>
      <c r="E17" s="87"/>
    </row>
    <row r="18" spans="2:5" ht="30" customHeight="1">
      <c r="B18" s="174"/>
      <c r="C18" s="174"/>
      <c r="D18" s="87"/>
      <c r="E18" s="87"/>
    </row>
    <row r="19" spans="2:5" ht="30" customHeight="1">
      <c r="B19" s="174"/>
      <c r="C19" s="174"/>
      <c r="D19" s="87"/>
      <c r="E19" s="87"/>
    </row>
    <row r="20" spans="2:5" ht="30" customHeight="1">
      <c r="B20" s="174"/>
      <c r="C20" s="174"/>
      <c r="D20" s="87"/>
      <c r="E20" s="87"/>
    </row>
    <row r="21" spans="2:5" ht="30" customHeight="1">
      <c r="B21" s="174"/>
      <c r="C21" s="174"/>
      <c r="D21" s="87"/>
      <c r="E21" s="87"/>
    </row>
    <row r="22" spans="2:5" ht="30" customHeight="1">
      <c r="B22" s="174"/>
      <c r="C22" s="174"/>
      <c r="D22" s="87"/>
      <c r="E22" s="87"/>
    </row>
    <row r="23" spans="2:5" ht="30" customHeight="1">
      <c r="B23" s="201"/>
      <c r="C23" s="202"/>
      <c r="D23" s="174"/>
      <c r="E23" s="174"/>
    </row>
    <row r="24" spans="2:5" ht="30" customHeight="1">
      <c r="B24" s="201"/>
      <c r="C24" s="167"/>
      <c r="D24" s="174"/>
      <c r="E24" s="174"/>
    </row>
    <row r="25" spans="2:5">
      <c r="B25" s="201"/>
      <c r="C25" s="202"/>
      <c r="D25" s="174"/>
      <c r="E25" s="174"/>
    </row>
    <row r="26" spans="2:5">
      <c r="B26" s="201"/>
      <c r="C26" s="202"/>
      <c r="D26" s="174"/>
      <c r="E26" s="174"/>
    </row>
    <row r="27" spans="2:5">
      <c r="B27" s="201"/>
      <c r="C27" s="202"/>
      <c r="D27" s="174"/>
      <c r="E27" s="174"/>
    </row>
    <row r="28" spans="2:5">
      <c r="B28" s="201"/>
      <c r="C28" s="202"/>
      <c r="D28" s="174"/>
      <c r="E28" s="174"/>
    </row>
    <row r="29" spans="2:5">
      <c r="B29" s="201"/>
      <c r="C29" s="202"/>
      <c r="D29" s="174"/>
      <c r="E29" s="174"/>
    </row>
    <row r="30" spans="2:5">
      <c r="B30" s="201"/>
      <c r="C30" s="202"/>
      <c r="D30" s="174"/>
      <c r="E30" s="174"/>
    </row>
    <row r="31" spans="2:5">
      <c r="B31" s="201"/>
      <c r="C31" s="202"/>
      <c r="D31" s="174"/>
      <c r="E31" s="174"/>
    </row>
    <row r="32" spans="2:5">
      <c r="B32" s="201"/>
      <c r="C32" s="202"/>
      <c r="D32" s="174"/>
      <c r="E32" s="174"/>
    </row>
    <row r="33" spans="2:5">
      <c r="B33" s="201"/>
      <c r="C33" s="202"/>
      <c r="D33" s="174"/>
      <c r="E33" s="174"/>
    </row>
    <row r="34" spans="2:5">
      <c r="B34" s="201"/>
      <c r="C34" s="202"/>
      <c r="D34" s="174"/>
      <c r="E34" s="174"/>
    </row>
    <row r="35" spans="2:5">
      <c r="B35" s="201"/>
      <c r="C35" s="202"/>
      <c r="D35" s="174"/>
      <c r="E35" s="174"/>
    </row>
    <row r="36" spans="2:5">
      <c r="B36" s="201"/>
      <c r="C36" s="202"/>
      <c r="D36" s="174"/>
      <c r="E36" s="174"/>
    </row>
    <row r="37" spans="2:5">
      <c r="B37" s="201"/>
      <c r="C37" s="202"/>
      <c r="D37" s="174"/>
      <c r="E37" s="174"/>
    </row>
    <row r="38" spans="2:5">
      <c r="B38" s="201"/>
      <c r="C38" s="202"/>
      <c r="D38" s="174"/>
      <c r="E38" s="174"/>
    </row>
    <row r="39" spans="2:5">
      <c r="B39" s="201"/>
      <c r="C39" s="202"/>
      <c r="D39" s="174"/>
      <c r="E39" s="174"/>
    </row>
    <row r="40" spans="2:5">
      <c r="B40" s="201"/>
      <c r="C40" s="202"/>
      <c r="D40" s="174"/>
      <c r="E40" s="174"/>
    </row>
    <row r="41" spans="2:5">
      <c r="B41" s="201"/>
      <c r="C41" s="202"/>
      <c r="D41" s="174"/>
      <c r="E41" s="174"/>
    </row>
    <row r="42" spans="2:5">
      <c r="B42" s="201"/>
      <c r="C42" s="202"/>
      <c r="D42" s="174"/>
      <c r="E42" s="174"/>
    </row>
    <row r="43" spans="2:5">
      <c r="B43" s="201"/>
      <c r="C43" s="202"/>
      <c r="D43" s="174"/>
      <c r="E43" s="174"/>
    </row>
    <row r="44" spans="2:5">
      <c r="B44" s="201"/>
      <c r="C44" s="202"/>
      <c r="D44" s="174"/>
      <c r="E44" s="174"/>
    </row>
    <row r="45" spans="2:5">
      <c r="B45" s="201"/>
      <c r="C45" s="202"/>
      <c r="D45" s="174"/>
      <c r="E45" s="174"/>
    </row>
    <row r="46" spans="2:5">
      <c r="B46" s="201"/>
      <c r="C46" s="202"/>
      <c r="D46" s="174"/>
      <c r="E46" s="174"/>
    </row>
    <row r="47" spans="2:5">
      <c r="B47" s="201"/>
      <c r="C47" s="202"/>
      <c r="D47" s="174"/>
      <c r="E47" s="174"/>
    </row>
    <row r="48" spans="2:5">
      <c r="B48" s="201"/>
      <c r="C48" s="202"/>
      <c r="D48" s="174"/>
      <c r="E48" s="174"/>
    </row>
    <row r="49" spans="2:5">
      <c r="B49" s="201"/>
      <c r="C49" s="202"/>
      <c r="D49" s="174"/>
      <c r="E49" s="174"/>
    </row>
    <row r="50" spans="2:5">
      <c r="B50" s="201"/>
      <c r="C50" s="202"/>
      <c r="D50" s="174"/>
      <c r="E50" s="174"/>
    </row>
    <row r="51" spans="2:5">
      <c r="B51" s="201"/>
      <c r="C51" s="202"/>
      <c r="D51" s="174"/>
      <c r="E51" s="174"/>
    </row>
    <row r="52" spans="2:5">
      <c r="B52" s="201"/>
      <c r="C52" s="202"/>
      <c r="D52" s="174"/>
      <c r="E52" s="174"/>
    </row>
    <row r="53" spans="2:5">
      <c r="B53" s="201"/>
      <c r="C53" s="202"/>
      <c r="D53" s="174"/>
      <c r="E53" s="174"/>
    </row>
    <row r="54" spans="2:5">
      <c r="B54" s="201"/>
      <c r="C54" s="202"/>
      <c r="D54" s="174"/>
      <c r="E54" s="174"/>
    </row>
    <row r="55" spans="2:5">
      <c r="B55" s="201"/>
      <c r="C55" s="202"/>
      <c r="D55" s="174"/>
      <c r="E55" s="174"/>
    </row>
    <row r="56" spans="2:5">
      <c r="B56" s="201"/>
      <c r="C56" s="202"/>
      <c r="D56" s="174"/>
      <c r="E56" s="174"/>
    </row>
    <row r="57" spans="2:5">
      <c r="B57" s="201"/>
      <c r="C57" s="202"/>
      <c r="D57" s="174"/>
      <c r="E57" s="174"/>
    </row>
    <row r="58" spans="2:5">
      <c r="B58" s="201"/>
      <c r="C58" s="202"/>
      <c r="D58" s="174"/>
      <c r="E58" s="174"/>
    </row>
    <row r="59" spans="2:5">
      <c r="B59" s="201"/>
      <c r="C59" s="202"/>
      <c r="D59" s="174"/>
      <c r="E59" s="174"/>
    </row>
    <row r="60" spans="2:5">
      <c r="B60" s="201"/>
      <c r="C60" s="202"/>
      <c r="D60" s="174"/>
      <c r="E60" s="174"/>
    </row>
    <row r="61" spans="2:5">
      <c r="B61" s="201"/>
      <c r="C61" s="202"/>
      <c r="D61" s="174"/>
      <c r="E61" s="174"/>
    </row>
    <row r="62" spans="2:5">
      <c r="B62" s="201"/>
      <c r="C62" s="202"/>
      <c r="D62" s="174"/>
      <c r="E62" s="174"/>
    </row>
    <row r="63" spans="2:5">
      <c r="B63" s="201"/>
      <c r="C63" s="202"/>
      <c r="D63" s="174"/>
      <c r="E63" s="174"/>
    </row>
    <row r="64" spans="2:5">
      <c r="B64" s="201"/>
      <c r="C64" s="202"/>
      <c r="D64" s="174"/>
      <c r="E64" s="174"/>
    </row>
    <row r="65" spans="2:5">
      <c r="B65" s="201"/>
      <c r="C65" s="202"/>
      <c r="D65" s="174"/>
      <c r="E65" s="174"/>
    </row>
    <row r="66" spans="2:5">
      <c r="B66" s="201"/>
      <c r="C66" s="202"/>
      <c r="D66" s="174"/>
      <c r="E66" s="174"/>
    </row>
    <row r="67" spans="2:5">
      <c r="B67" s="201"/>
      <c r="C67" s="202"/>
      <c r="D67" s="174"/>
      <c r="E67" s="174"/>
    </row>
  </sheetData>
  <mergeCells count="8">
    <mergeCell ref="C10:D10"/>
    <mergeCell ref="C11:D11"/>
    <mergeCell ref="A1:E1"/>
    <mergeCell ref="A3:E3"/>
    <mergeCell ref="C6:D6"/>
    <mergeCell ref="C7:D7"/>
    <mergeCell ref="C8:D8"/>
    <mergeCell ref="C9:D9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theme="9" tint="-0.249977111117893"/>
  </sheetPr>
  <dimension ref="A1:L27"/>
  <sheetViews>
    <sheetView view="pageBreakPreview" zoomScale="60" zoomScaleNormal="100" workbookViewId="0">
      <selection sqref="A1:I1"/>
    </sheetView>
  </sheetViews>
  <sheetFormatPr defaultColWidth="8.85546875" defaultRowHeight="15.75"/>
  <cols>
    <col min="1" max="2" width="5.28515625" style="37" customWidth="1"/>
    <col min="3" max="3" width="3.85546875" style="68" bestFit="1" customWidth="1"/>
    <col min="4" max="4" width="12.140625" style="69" bestFit="1" customWidth="1"/>
    <col min="5" max="5" width="43.42578125" style="73" customWidth="1"/>
    <col min="6" max="6" width="18.7109375" style="73" customWidth="1"/>
    <col min="7" max="7" width="21.28515625" style="73" customWidth="1"/>
    <col min="8" max="8" width="9.7109375" style="73" customWidth="1"/>
    <col min="9" max="12" width="8.85546875" style="73"/>
    <col min="13" max="16384" width="8.85546875" style="37"/>
  </cols>
  <sheetData>
    <row r="1" spans="1:12" s="84" customFormat="1">
      <c r="A1" s="701" t="s">
        <v>607</v>
      </c>
      <c r="B1" s="701"/>
      <c r="C1" s="701"/>
      <c r="D1" s="701"/>
      <c r="E1" s="701"/>
      <c r="F1" s="701"/>
      <c r="G1" s="701"/>
      <c r="H1" s="701"/>
      <c r="I1" s="701"/>
      <c r="J1" s="69"/>
      <c r="K1" s="69"/>
      <c r="L1" s="69"/>
    </row>
    <row r="2" spans="1:12">
      <c r="E2" s="70"/>
      <c r="F2" s="70"/>
      <c r="G2" s="72"/>
    </row>
    <row r="3" spans="1:12">
      <c r="E3" s="70"/>
      <c r="F3" s="71"/>
      <c r="G3" s="72"/>
    </row>
    <row r="4" spans="1:12" ht="27.75" customHeight="1">
      <c r="A4" s="705" t="s">
        <v>63</v>
      </c>
      <c r="B4" s="705"/>
      <c r="C4" s="705"/>
      <c r="D4" s="705"/>
      <c r="E4" s="705"/>
      <c r="F4" s="705"/>
      <c r="G4" s="705"/>
      <c r="H4" s="705"/>
      <c r="I4" s="74"/>
      <c r="J4" s="74"/>
      <c r="K4" s="74"/>
      <c r="L4" s="74"/>
    </row>
    <row r="5" spans="1:12" ht="39" customHeight="1">
      <c r="A5" s="705" t="s">
        <v>577</v>
      </c>
      <c r="B5" s="705"/>
      <c r="C5" s="705"/>
      <c r="D5" s="705"/>
      <c r="E5" s="705"/>
      <c r="F5" s="705"/>
      <c r="G5" s="705"/>
      <c r="H5" s="309"/>
      <c r="I5" s="74"/>
      <c r="J5" s="74"/>
      <c r="K5" s="74"/>
      <c r="L5" s="74"/>
    </row>
    <row r="6" spans="1:12" ht="16.5" customHeight="1">
      <c r="D6" s="75"/>
      <c r="E6" s="75"/>
      <c r="F6" s="75"/>
      <c r="G6" s="75"/>
      <c r="H6" s="75"/>
      <c r="I6" s="75"/>
      <c r="J6" s="75"/>
      <c r="K6" s="74"/>
      <c r="L6" s="74"/>
    </row>
    <row r="7" spans="1:12" s="76" customFormat="1" ht="96" customHeight="1">
      <c r="C7" s="253" t="s">
        <v>215</v>
      </c>
      <c r="D7" s="77" t="s">
        <v>64</v>
      </c>
      <c r="E7" s="77" t="s">
        <v>65</v>
      </c>
      <c r="F7" s="244" t="s">
        <v>526</v>
      </c>
      <c r="G7" s="78"/>
      <c r="H7" s="78"/>
      <c r="I7" s="78"/>
    </row>
    <row r="8" spans="1:12" s="76" customFormat="1">
      <c r="C8" s="250"/>
      <c r="D8" s="247" t="s">
        <v>223</v>
      </c>
      <c r="E8" s="79" t="s">
        <v>66</v>
      </c>
      <c r="F8" s="498">
        <f>+'5.a sz.mell.'!O6</f>
        <v>1</v>
      </c>
      <c r="G8" s="78"/>
      <c r="H8" s="78"/>
      <c r="I8" s="78"/>
    </row>
    <row r="9" spans="1:12" s="76" customFormat="1">
      <c r="C9" s="245"/>
      <c r="D9" s="247" t="s">
        <v>225</v>
      </c>
      <c r="E9" s="79" t="s">
        <v>224</v>
      </c>
      <c r="F9" s="498">
        <f>+'5.a sz.mell.'!O19</f>
        <v>1</v>
      </c>
      <c r="G9" s="78"/>
      <c r="H9" s="78"/>
      <c r="I9" s="78"/>
    </row>
    <row r="10" spans="1:12" s="76" customFormat="1">
      <c r="C10" s="245"/>
      <c r="D10" s="248" t="s">
        <v>226</v>
      </c>
      <c r="E10" s="79" t="s">
        <v>227</v>
      </c>
      <c r="F10" s="498">
        <f>+'5.a sz.mell.'!O20</f>
        <v>11</v>
      </c>
      <c r="G10" s="78"/>
      <c r="H10" s="78"/>
      <c r="I10" s="78"/>
    </row>
    <row r="11" spans="1:12" s="76" customFormat="1">
      <c r="C11" s="245"/>
      <c r="D11" s="248" t="s">
        <v>228</v>
      </c>
      <c r="E11" s="79" t="s">
        <v>49</v>
      </c>
      <c r="F11" s="498">
        <f>+'5.a sz.mell.'!O22</f>
        <v>3</v>
      </c>
      <c r="G11" s="78"/>
      <c r="H11" s="78"/>
      <c r="I11" s="78"/>
    </row>
    <row r="12" spans="1:12" s="76" customFormat="1">
      <c r="C12" s="246"/>
      <c r="D12" s="80">
        <v>104044</v>
      </c>
      <c r="E12" s="79" t="s">
        <v>230</v>
      </c>
      <c r="F12" s="498">
        <f>+'5.a sz.mell.'!O26</f>
        <v>2</v>
      </c>
      <c r="G12" s="78"/>
      <c r="H12" s="78"/>
      <c r="I12" s="78"/>
    </row>
    <row r="13" spans="1:12" s="76" customFormat="1">
      <c r="C13" s="245"/>
      <c r="D13" s="624" t="s">
        <v>261</v>
      </c>
      <c r="E13" s="79" t="s">
        <v>278</v>
      </c>
      <c r="F13" s="498">
        <f>+'5.a sz.mell.'!O23</f>
        <v>1</v>
      </c>
      <c r="G13" s="78"/>
      <c r="H13" s="78"/>
      <c r="I13" s="78"/>
    </row>
    <row r="14" spans="1:12" s="76" customFormat="1">
      <c r="C14" s="224" t="s">
        <v>38</v>
      </c>
      <c r="D14" s="82" t="s">
        <v>234</v>
      </c>
      <c r="E14" s="282"/>
      <c r="F14" s="585">
        <f>SUM(F8:F13)</f>
        <v>19</v>
      </c>
      <c r="G14" s="78"/>
      <c r="H14" s="78"/>
      <c r="I14" s="78"/>
    </row>
    <row r="15" spans="1:12" s="76" customFormat="1" ht="19.5" customHeight="1">
      <c r="C15" s="224"/>
      <c r="D15" s="249" t="s">
        <v>223</v>
      </c>
      <c r="E15" s="81" t="s">
        <v>238</v>
      </c>
      <c r="F15" s="503">
        <f>+'5.a sz.mell.'!O45</f>
        <v>17</v>
      </c>
      <c r="G15" s="78"/>
      <c r="H15" s="78"/>
      <c r="I15" s="78"/>
    </row>
    <row r="16" spans="1:12">
      <c r="C16" s="251" t="s">
        <v>39</v>
      </c>
      <c r="D16" s="82" t="s">
        <v>233</v>
      </c>
      <c r="E16" s="83"/>
      <c r="F16" s="586">
        <f>F15</f>
        <v>17</v>
      </c>
      <c r="J16" s="37"/>
      <c r="K16" s="37"/>
      <c r="L16" s="37"/>
    </row>
    <row r="17" spans="3:12">
      <c r="C17" s="245"/>
      <c r="D17" s="247" t="s">
        <v>288</v>
      </c>
      <c r="E17" s="79" t="s">
        <v>315</v>
      </c>
      <c r="F17" s="498">
        <f>+'5.a sz.mell.'!O46</f>
        <v>3</v>
      </c>
      <c r="J17" s="37"/>
      <c r="K17" s="37"/>
      <c r="L17" s="37"/>
    </row>
    <row r="18" spans="3:12" ht="18" customHeight="1">
      <c r="C18" s="252" t="s">
        <v>41</v>
      </c>
      <c r="D18" s="82" t="s">
        <v>231</v>
      </c>
      <c r="E18" s="83"/>
      <c r="F18" s="407">
        <f>SUM(F17)</f>
        <v>3</v>
      </c>
      <c r="J18" s="37"/>
      <c r="K18" s="37"/>
      <c r="L18" s="37"/>
    </row>
    <row r="19" spans="3:12">
      <c r="C19" s="245"/>
      <c r="D19" s="247" t="s">
        <v>293</v>
      </c>
      <c r="E19" s="79" t="s">
        <v>218</v>
      </c>
      <c r="F19" s="498">
        <f>+'5.a sz.mell.'!O53</f>
        <v>1</v>
      </c>
      <c r="J19" s="37"/>
      <c r="K19" s="37"/>
      <c r="L19" s="37"/>
    </row>
    <row r="20" spans="3:12">
      <c r="C20" s="252" t="s">
        <v>43</v>
      </c>
      <c r="D20" s="82" t="s">
        <v>232</v>
      </c>
      <c r="E20" s="83"/>
      <c r="F20" s="407">
        <v>1</v>
      </c>
      <c r="J20" s="37"/>
      <c r="K20" s="37"/>
      <c r="L20" s="37"/>
    </row>
    <row r="21" spans="3:12">
      <c r="C21" s="245"/>
      <c r="D21" s="80">
        <v>107052</v>
      </c>
      <c r="E21" s="79" t="s">
        <v>284</v>
      </c>
      <c r="F21" s="498">
        <f>+'5.a sz.mell.'!O54</f>
        <v>4</v>
      </c>
      <c r="J21" s="37"/>
      <c r="K21" s="37"/>
      <c r="L21" s="37"/>
    </row>
    <row r="22" spans="3:12">
      <c r="C22" s="245"/>
      <c r="D22" s="80">
        <v>104042</v>
      </c>
      <c r="E22" s="79" t="s">
        <v>285</v>
      </c>
      <c r="F22" s="498">
        <f>+'5.a sz.mell.'!O55</f>
        <v>2</v>
      </c>
      <c r="J22" s="37"/>
      <c r="K22" s="37"/>
      <c r="L22" s="37"/>
    </row>
    <row r="23" spans="3:12">
      <c r="C23" s="245"/>
      <c r="D23" s="80">
        <v>102031</v>
      </c>
      <c r="E23" s="79" t="s">
        <v>286</v>
      </c>
      <c r="F23" s="498">
        <f>+'5.a sz.mell.'!O56</f>
        <v>2</v>
      </c>
      <c r="J23" s="37"/>
      <c r="K23" s="37"/>
      <c r="L23" s="37"/>
    </row>
    <row r="24" spans="3:12">
      <c r="C24" s="245"/>
      <c r="D24" s="80">
        <v>107051</v>
      </c>
      <c r="E24" s="79" t="s">
        <v>287</v>
      </c>
      <c r="F24" s="498">
        <f>+'5.a sz.mell.'!O58</f>
        <v>1</v>
      </c>
      <c r="J24" s="37"/>
      <c r="K24" s="37"/>
      <c r="L24" s="37"/>
    </row>
    <row r="25" spans="3:12">
      <c r="C25" s="245"/>
      <c r="D25" s="248" t="s">
        <v>229</v>
      </c>
      <c r="E25" s="79" t="s">
        <v>67</v>
      </c>
      <c r="F25" s="498">
        <f>+'5.a sz.mell.'!O61</f>
        <v>9</v>
      </c>
      <c r="J25" s="37"/>
      <c r="K25" s="37"/>
      <c r="L25" s="37"/>
    </row>
    <row r="26" spans="3:12" ht="19.5" customHeight="1">
      <c r="C26" s="252" t="s">
        <v>213</v>
      </c>
      <c r="D26" s="82" t="s">
        <v>316</v>
      </c>
      <c r="E26" s="83"/>
      <c r="F26" s="407">
        <f>SUM(F21:F25)</f>
        <v>18</v>
      </c>
      <c r="J26" s="37"/>
      <c r="K26" s="37"/>
      <c r="L26" s="37"/>
    </row>
    <row r="27" spans="3:12" ht="36" customHeight="1">
      <c r="C27" s="702" t="s">
        <v>68</v>
      </c>
      <c r="D27" s="703"/>
      <c r="E27" s="704"/>
      <c r="F27" s="625">
        <f>SUM(F14,F16,F18,F20,F26)</f>
        <v>58</v>
      </c>
      <c r="J27" s="37"/>
      <c r="K27" s="37"/>
      <c r="L27" s="37"/>
    </row>
  </sheetData>
  <mergeCells count="4">
    <mergeCell ref="A1:I1"/>
    <mergeCell ref="C27:E27"/>
    <mergeCell ref="A4:H4"/>
    <mergeCell ref="A5:G5"/>
  </mergeCells>
  <phoneticPr fontId="0" type="noConversion"/>
  <pageMargins left="0.75" right="0.75" top="1" bottom="1" header="0.5" footer="0.5"/>
  <pageSetup paperSize="9" scale="78" orientation="portrait" r:id="rId1"/>
  <headerFooter alignWithMargins="0"/>
  <colBreaks count="1" manualBreakCount="1">
    <brk id="8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theme="9" tint="-0.249977111117893"/>
  </sheetPr>
  <dimension ref="A1:L19"/>
  <sheetViews>
    <sheetView view="pageBreakPreview" zoomScale="60" zoomScaleNormal="100" workbookViewId="0">
      <selection activeCell="U9" sqref="U9"/>
    </sheetView>
  </sheetViews>
  <sheetFormatPr defaultColWidth="8.85546875" defaultRowHeight="15.75"/>
  <cols>
    <col min="1" max="2" width="8.85546875" style="37"/>
    <col min="3" max="3" width="8.85546875" style="73"/>
    <col min="4" max="4" width="38.42578125" style="73" customWidth="1"/>
    <col min="5" max="5" width="9.140625" style="69" hidden="1" customWidth="1"/>
    <col min="6" max="6" width="9.140625" style="73" hidden="1" customWidth="1"/>
    <col min="7" max="12" width="8.85546875" style="73"/>
    <col min="13" max="16384" width="8.85546875" style="37"/>
  </cols>
  <sheetData>
    <row r="1" spans="1:10">
      <c r="A1" s="706" t="s">
        <v>608</v>
      </c>
      <c r="B1" s="706"/>
      <c r="C1" s="706"/>
      <c r="D1" s="706"/>
      <c r="E1" s="706"/>
      <c r="F1" s="706"/>
      <c r="G1" s="706"/>
      <c r="H1" s="706"/>
      <c r="I1" s="706"/>
    </row>
    <row r="3" spans="1:10" ht="16.5" thickBot="1"/>
    <row r="4" spans="1:10" ht="37.5" customHeight="1">
      <c r="A4" s="707" t="s">
        <v>578</v>
      </c>
      <c r="B4" s="708"/>
      <c r="C4" s="708"/>
      <c r="D4" s="708"/>
      <c r="E4" s="708"/>
      <c r="F4" s="708"/>
      <c r="G4" s="708"/>
      <c r="H4" s="708"/>
      <c r="I4" s="708"/>
      <c r="J4" s="587"/>
    </row>
    <row r="5" spans="1:10" ht="37.5" customHeight="1">
      <c r="A5" s="588"/>
      <c r="B5" s="589"/>
      <c r="C5" s="589"/>
      <c r="D5" s="589"/>
      <c r="E5" s="589"/>
      <c r="F5" s="589"/>
      <c r="G5" s="589"/>
      <c r="H5" s="589"/>
      <c r="I5" s="589"/>
      <c r="J5" s="590"/>
    </row>
    <row r="6" spans="1:10" ht="39.75" customHeight="1">
      <c r="A6" s="588"/>
      <c r="B6" s="207"/>
      <c r="C6" s="591"/>
      <c r="D6" s="591"/>
      <c r="E6" s="592"/>
      <c r="F6" s="591"/>
      <c r="G6" s="709" t="s">
        <v>527</v>
      </c>
      <c r="H6" s="709"/>
      <c r="I6" s="709"/>
      <c r="J6" s="710"/>
    </row>
    <row r="7" spans="1:10" ht="20.25">
      <c r="A7" s="588"/>
      <c r="B7" s="593"/>
      <c r="C7" s="594" t="s">
        <v>270</v>
      </c>
      <c r="D7" s="594"/>
      <c r="E7" s="595"/>
      <c r="F7" s="594"/>
      <c r="G7" s="596">
        <f>+'5.a sz.mell.'!O10</f>
        <v>15</v>
      </c>
      <c r="H7" s="594" t="s">
        <v>377</v>
      </c>
      <c r="I7" s="596"/>
      <c r="J7" s="597"/>
    </row>
    <row r="8" spans="1:10" ht="20.25">
      <c r="A8" s="588"/>
      <c r="B8" s="593"/>
      <c r="C8" s="594"/>
      <c r="D8" s="594"/>
      <c r="E8" s="595"/>
      <c r="F8" s="594"/>
      <c r="G8" s="594"/>
      <c r="H8" s="591"/>
      <c r="I8" s="594"/>
      <c r="J8" s="590"/>
    </row>
    <row r="9" spans="1:10" ht="20.25">
      <c r="A9" s="588"/>
      <c r="B9" s="593"/>
      <c r="C9" s="594"/>
      <c r="D9" s="594"/>
      <c r="E9" s="595"/>
      <c r="F9" s="594"/>
      <c r="G9" s="594"/>
      <c r="H9" s="591"/>
      <c r="I9" s="594"/>
      <c r="J9" s="590"/>
    </row>
    <row r="10" spans="1:10" ht="20.25">
      <c r="A10" s="588"/>
      <c r="B10" s="593"/>
      <c r="C10" s="594" t="s">
        <v>346</v>
      </c>
      <c r="D10" s="594"/>
      <c r="E10" s="595"/>
      <c r="F10" s="594"/>
      <c r="G10" s="596">
        <f>+'5.a sz.mell.'!O12</f>
        <v>13</v>
      </c>
      <c r="H10" s="594" t="s">
        <v>377</v>
      </c>
      <c r="I10" s="596"/>
      <c r="J10" s="597"/>
    </row>
    <row r="11" spans="1:10" ht="20.25">
      <c r="A11" s="588"/>
      <c r="B11" s="593"/>
      <c r="C11" s="594"/>
      <c r="D11" s="594"/>
      <c r="E11" s="595"/>
      <c r="F11" s="594"/>
      <c r="G11" s="594"/>
      <c r="H11" s="591"/>
      <c r="I11" s="594"/>
      <c r="J11" s="590"/>
    </row>
    <row r="12" spans="1:10" ht="20.25">
      <c r="A12" s="588"/>
      <c r="B12" s="593"/>
      <c r="C12" s="594"/>
      <c r="D12" s="594"/>
      <c r="E12" s="595"/>
      <c r="F12" s="594"/>
      <c r="G12" s="594"/>
      <c r="H12" s="591"/>
      <c r="I12" s="594"/>
      <c r="J12" s="590"/>
    </row>
    <row r="13" spans="1:10" ht="20.25">
      <c r="A13" s="588"/>
      <c r="B13" s="593"/>
      <c r="C13" s="594"/>
      <c r="D13" s="594"/>
      <c r="E13" s="595"/>
      <c r="F13" s="594"/>
      <c r="G13" s="594"/>
      <c r="H13" s="591"/>
      <c r="I13" s="594"/>
      <c r="J13" s="590"/>
    </row>
    <row r="14" spans="1:10" ht="21" thickBot="1">
      <c r="A14" s="598"/>
      <c r="B14" s="599"/>
      <c r="C14" s="600"/>
      <c r="D14" s="600" t="s">
        <v>44</v>
      </c>
      <c r="E14" s="601"/>
      <c r="F14" s="600"/>
      <c r="G14" s="602">
        <f>+G7+G10</f>
        <v>28</v>
      </c>
      <c r="H14" s="600" t="s">
        <v>377</v>
      </c>
      <c r="I14" s="600"/>
      <c r="J14" s="603"/>
    </row>
    <row r="15" spans="1:10" ht="20.25">
      <c r="B15" s="409"/>
      <c r="C15" s="410"/>
      <c r="D15" s="410"/>
      <c r="E15" s="411"/>
      <c r="F15" s="410"/>
      <c r="G15" s="410"/>
    </row>
    <row r="16" spans="1:10" ht="13.5" customHeight="1"/>
    <row r="19" ht="18" customHeight="1"/>
  </sheetData>
  <mergeCells count="4">
    <mergeCell ref="A1:I1"/>
    <mergeCell ref="A4:I4"/>
    <mergeCell ref="G6:H6"/>
    <mergeCell ref="I6:J6"/>
  </mergeCells>
  <phoneticPr fontId="0" type="noConversion"/>
  <pageMargins left="0.75" right="0.75" top="1" bottom="1" header="0.5" footer="0.5"/>
  <pageSetup paperSize="9" scale="85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theme="9" tint="-0.249977111117893"/>
    <pageSetUpPr fitToPage="1"/>
  </sheetPr>
  <dimension ref="A1:N9"/>
  <sheetViews>
    <sheetView view="pageBreakPreview" zoomScaleNormal="80" zoomScaleSheetLayoutView="100" workbookViewId="0">
      <selection activeCell="A3" sqref="A3:I3"/>
    </sheetView>
  </sheetViews>
  <sheetFormatPr defaultRowHeight="15.75"/>
  <cols>
    <col min="1" max="1" width="47.140625" style="86" customWidth="1"/>
    <col min="2" max="2" width="15.140625" style="91" customWidth="1"/>
    <col min="3" max="3" width="21.28515625" style="91" customWidth="1"/>
    <col min="4" max="4" width="23.7109375" style="91" customWidth="1"/>
    <col min="5" max="5" width="14" style="91" customWidth="1"/>
    <col min="6" max="6" width="21.7109375" style="91" customWidth="1"/>
    <col min="7" max="7" width="18.28515625" style="91" customWidth="1"/>
    <col min="8" max="8" width="21.7109375" style="91" customWidth="1"/>
    <col min="9" max="9" width="19.7109375" style="91" customWidth="1"/>
    <col min="10" max="10" width="21.5703125" style="89" customWidth="1"/>
    <col min="11" max="11" width="26.140625" style="89" customWidth="1"/>
    <col min="12" max="12" width="23.85546875" style="89" customWidth="1"/>
    <col min="13" max="13" width="17.7109375" style="89" customWidth="1"/>
    <col min="14" max="14" width="18.85546875" style="90" customWidth="1"/>
    <col min="15" max="16384" width="9.140625" style="87"/>
  </cols>
  <sheetData>
    <row r="1" spans="1:14" ht="21" customHeight="1">
      <c r="A1" s="645" t="s">
        <v>609</v>
      </c>
      <c r="B1" s="645"/>
      <c r="C1" s="645"/>
      <c r="D1" s="645"/>
      <c r="E1" s="645"/>
      <c r="F1" s="645"/>
      <c r="G1" s="645"/>
      <c r="H1" s="645"/>
      <c r="I1" s="645"/>
      <c r="J1" s="254"/>
      <c r="K1" s="254"/>
      <c r="L1" s="254"/>
      <c r="M1" s="254"/>
      <c r="N1" s="254"/>
    </row>
    <row r="2" spans="1:14">
      <c r="B2" s="88"/>
      <c r="C2" s="88"/>
      <c r="D2" s="88"/>
      <c r="E2" s="88"/>
      <c r="F2" s="88"/>
      <c r="G2" s="88"/>
      <c r="H2" s="88"/>
      <c r="I2" s="88"/>
    </row>
    <row r="3" spans="1:14" ht="27.75" customHeight="1">
      <c r="A3" s="713" t="s">
        <v>63</v>
      </c>
      <c r="B3" s="713"/>
      <c r="C3" s="713"/>
      <c r="D3" s="713"/>
      <c r="E3" s="713"/>
      <c r="F3" s="713"/>
      <c r="G3" s="713"/>
      <c r="H3" s="713"/>
      <c r="I3" s="713"/>
      <c r="J3" s="351"/>
      <c r="K3" s="351"/>
      <c r="L3" s="351"/>
      <c r="M3" s="351"/>
      <c r="N3" s="351"/>
    </row>
    <row r="4" spans="1:14" ht="42.75" customHeight="1">
      <c r="A4" s="653" t="s">
        <v>69</v>
      </c>
      <c r="B4" s="653"/>
      <c r="C4" s="653"/>
      <c r="D4" s="653"/>
      <c r="E4" s="653"/>
      <c r="F4" s="653"/>
      <c r="G4" s="653"/>
      <c r="H4" s="653"/>
      <c r="I4" s="653"/>
      <c r="J4" s="283"/>
      <c r="K4" s="283"/>
      <c r="L4" s="283"/>
      <c r="M4" s="283"/>
      <c r="N4" s="283"/>
    </row>
    <row r="5" spans="1:14" ht="30" customHeight="1">
      <c r="A5" s="352"/>
      <c r="B5" s="352"/>
      <c r="C5" s="352"/>
      <c r="D5" s="352"/>
      <c r="E5" s="352"/>
      <c r="F5" s="352"/>
      <c r="G5" s="352"/>
      <c r="H5" s="352"/>
      <c r="I5" s="352"/>
      <c r="J5" s="352"/>
      <c r="K5" s="352"/>
      <c r="L5" s="352"/>
      <c r="M5" s="352"/>
      <c r="N5" s="352"/>
    </row>
    <row r="6" spans="1:14" ht="54.75" customHeight="1">
      <c r="A6" s="712" t="s">
        <v>317</v>
      </c>
      <c r="B6" s="711" t="s">
        <v>356</v>
      </c>
      <c r="C6" s="711" t="s">
        <v>528</v>
      </c>
      <c r="D6" s="714" t="s">
        <v>354</v>
      </c>
      <c r="E6" s="715"/>
      <c r="F6" s="716" t="s">
        <v>529</v>
      </c>
      <c r="G6" s="717"/>
      <c r="H6" s="714" t="s">
        <v>530</v>
      </c>
      <c r="I6" s="715"/>
      <c r="J6" s="711" t="s">
        <v>592</v>
      </c>
      <c r="K6" s="711"/>
      <c r="L6" s="711" t="s">
        <v>593</v>
      </c>
      <c r="M6" s="711"/>
    </row>
    <row r="7" spans="1:14" ht="73.5" customHeight="1">
      <c r="A7" s="712"/>
      <c r="B7" s="711"/>
      <c r="C7" s="711"/>
      <c r="D7" s="353" t="s">
        <v>378</v>
      </c>
      <c r="E7" s="353" t="s">
        <v>379</v>
      </c>
      <c r="F7" s="548" t="s">
        <v>378</v>
      </c>
      <c r="G7" s="548" t="s">
        <v>379</v>
      </c>
      <c r="H7" s="548" t="s">
        <v>378</v>
      </c>
      <c r="I7" s="548" t="s">
        <v>379</v>
      </c>
      <c r="J7" s="548" t="s">
        <v>378</v>
      </c>
      <c r="K7" s="548" t="s">
        <v>379</v>
      </c>
      <c r="L7" s="610" t="s">
        <v>378</v>
      </c>
      <c r="M7" s="610" t="s">
        <v>379</v>
      </c>
      <c r="N7" s="87"/>
    </row>
    <row r="8" spans="1:14" ht="83.25" customHeight="1">
      <c r="A8" s="354" t="s">
        <v>357</v>
      </c>
      <c r="B8" s="356" t="s">
        <v>308</v>
      </c>
      <c r="C8" s="358">
        <v>89180205</v>
      </c>
      <c r="D8" s="359">
        <v>49599394</v>
      </c>
      <c r="E8" s="360">
        <f>+D8/C8</f>
        <v>0.55617044163556251</v>
      </c>
      <c r="F8" s="359">
        <f>+D8-14740137+4</f>
        <v>34859261</v>
      </c>
      <c r="G8" s="360">
        <f>+F8/C8</f>
        <v>0.39088563431761564</v>
      </c>
      <c r="H8" s="359">
        <f>+C8-D8-1821018-868060</f>
        <v>36891733</v>
      </c>
      <c r="I8" s="360">
        <f>+H8/C8</f>
        <v>0.41367625248226331</v>
      </c>
      <c r="J8" s="359">
        <f>6839200+39857738</f>
        <v>46696938</v>
      </c>
      <c r="K8" s="360">
        <f>+J8/C8</f>
        <v>0.52362447473629381</v>
      </c>
      <c r="L8" s="359">
        <f>+C8-F8-J8-868060</f>
        <v>6755946</v>
      </c>
      <c r="M8" s="360">
        <f>+L8/C8</f>
        <v>7.5756116505899487E-2</v>
      </c>
      <c r="N8" s="87"/>
    </row>
    <row r="9" spans="1:14" s="92" customFormat="1" ht="82.5" customHeight="1">
      <c r="A9" s="355" t="s">
        <v>355</v>
      </c>
      <c r="B9" s="357" t="s">
        <v>308</v>
      </c>
      <c r="C9" s="362">
        <v>88739589</v>
      </c>
      <c r="D9" s="363">
        <v>48307343</v>
      </c>
      <c r="E9" s="361">
        <f>+D9/C9</f>
        <v>0.54437194880404505</v>
      </c>
      <c r="F9" s="363">
        <f>+D9-23005204+426907</f>
        <v>25729046</v>
      </c>
      <c r="G9" s="360">
        <f>+F9/C9</f>
        <v>0.28993875551981652</v>
      </c>
      <c r="H9" s="363">
        <f>+C9-D9-1340680-3275011</f>
        <v>35816555</v>
      </c>
      <c r="I9" s="360">
        <f>+H9/C9</f>
        <v>0.40361416368516201</v>
      </c>
      <c r="J9" s="363">
        <v>34972924</v>
      </c>
      <c r="K9" s="360">
        <f>+J9/C9</f>
        <v>0.39410734706017175</v>
      </c>
      <c r="L9" s="363">
        <f>+C9-F9-J9-1340680</f>
        <v>26696939</v>
      </c>
      <c r="M9" s="360">
        <f>+L9/C9</f>
        <v>0.30084587162106419</v>
      </c>
    </row>
  </sheetData>
  <mergeCells count="11">
    <mergeCell ref="L6:M6"/>
    <mergeCell ref="J6:K6"/>
    <mergeCell ref="A1:I1"/>
    <mergeCell ref="C6:C7"/>
    <mergeCell ref="B6:B7"/>
    <mergeCell ref="A6:A7"/>
    <mergeCell ref="A4:I4"/>
    <mergeCell ref="A3:I3"/>
    <mergeCell ref="D6:E6"/>
    <mergeCell ref="F6:G6"/>
    <mergeCell ref="H6:I6"/>
  </mergeCells>
  <phoneticPr fontId="0" type="noConversion"/>
  <pageMargins left="0.74803149606299213" right="0.74803149606299213" top="0.98425196850393704" bottom="0.98425196850393704" header="0.51181102362204722" footer="0.51181102362204722"/>
  <pageSetup paperSize="8" scale="44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theme="9" tint="-0.499984740745262"/>
  </sheetPr>
  <dimension ref="A1:I18"/>
  <sheetViews>
    <sheetView view="pageBreakPreview" topLeftCell="B1" zoomScale="60" zoomScaleNormal="100" workbookViewId="0">
      <selection activeCell="O34" sqref="O34"/>
    </sheetView>
  </sheetViews>
  <sheetFormatPr defaultColWidth="8.85546875" defaultRowHeight="15.75"/>
  <cols>
    <col min="1" max="1" width="12.28515625" style="37" hidden="1" customWidth="1"/>
    <col min="2" max="2" width="47.28515625" style="37" customWidth="1"/>
    <col min="3" max="3" width="20.7109375" style="73" customWidth="1"/>
    <col min="4" max="4" width="8.85546875" style="73"/>
    <col min="5" max="7" width="9.140625" style="73" customWidth="1"/>
    <col min="8" max="9" width="8.85546875" style="101"/>
    <col min="10" max="16384" width="8.85546875" style="37"/>
  </cols>
  <sheetData>
    <row r="1" spans="1:9" ht="40.5" customHeight="1">
      <c r="A1" s="718" t="s">
        <v>610</v>
      </c>
      <c r="B1" s="718"/>
      <c r="C1" s="718"/>
      <c r="D1" s="254"/>
      <c r="E1" s="254"/>
      <c r="F1" s="254"/>
      <c r="G1" s="254"/>
    </row>
    <row r="4" spans="1:9" ht="38.25" customHeight="1">
      <c r="A4" s="412" t="s">
        <v>486</v>
      </c>
      <c r="B4" s="719" t="s">
        <v>579</v>
      </c>
      <c r="C4" s="719"/>
      <c r="D4" s="412"/>
      <c r="E4" s="412"/>
      <c r="F4" s="412"/>
      <c r="G4" s="412"/>
    </row>
    <row r="6" spans="1:9" ht="16.5" thickBot="1">
      <c r="C6" s="102" t="s">
        <v>326</v>
      </c>
    </row>
    <row r="7" spans="1:9" ht="16.5" customHeight="1" thickBot="1">
      <c r="C7" s="469" t="s">
        <v>374</v>
      </c>
    </row>
    <row r="8" spans="1:9" s="39" customFormat="1" ht="35.1" customHeight="1" thickBot="1">
      <c r="B8" s="471" t="s">
        <v>91</v>
      </c>
      <c r="C8" s="468">
        <f>+'2.sz.mell.'!C83</f>
        <v>98896424</v>
      </c>
      <c r="D8" s="105"/>
      <c r="E8" s="103"/>
      <c r="F8" s="103"/>
      <c r="G8" s="103"/>
      <c r="H8" s="104"/>
      <c r="I8" s="104"/>
    </row>
    <row r="9" spans="1:9">
      <c r="B9" s="470" t="s">
        <v>367</v>
      </c>
      <c r="C9" s="364">
        <f>+'5.a sz.mell.'!I17</f>
        <v>50933440</v>
      </c>
    </row>
    <row r="10" spans="1:9" ht="47.25">
      <c r="B10" s="158" t="s">
        <v>531</v>
      </c>
      <c r="C10" s="364">
        <f>+'5.a sz.mell.'!I15</f>
        <v>24944510</v>
      </c>
    </row>
    <row r="11" spans="1:9" ht="31.5">
      <c r="B11" s="158" t="s">
        <v>580</v>
      </c>
      <c r="C11" s="364">
        <f>+'5.a sz.mell.'!I19</f>
        <v>4508070</v>
      </c>
    </row>
    <row r="12" spans="1:9" ht="47.25">
      <c r="B12" s="158" t="s">
        <v>581</v>
      </c>
      <c r="C12" s="364">
        <f>+'5.a sz.mell.'!I27</f>
        <v>8815656</v>
      </c>
    </row>
    <row r="13" spans="1:9" ht="47.25">
      <c r="B13" s="158" t="s">
        <v>582</v>
      </c>
      <c r="C13" s="364">
        <f>+'5.a sz.mell.'!I8</f>
        <v>8344429</v>
      </c>
    </row>
    <row r="14" spans="1:9" ht="47.25">
      <c r="B14" s="158" t="s">
        <v>583</v>
      </c>
      <c r="C14" s="364">
        <f>+'5.a sz.mell.'!I10</f>
        <v>1350319</v>
      </c>
    </row>
    <row r="15" spans="1:9" s="39" customFormat="1" ht="28.5" customHeight="1">
      <c r="B15" s="450" t="s">
        <v>368</v>
      </c>
      <c r="C15" s="449">
        <f>+'2.sz.mell.'!C82</f>
        <v>0</v>
      </c>
      <c r="D15" s="105"/>
      <c r="E15" s="103"/>
      <c r="F15" s="103"/>
      <c r="G15" s="103"/>
      <c r="H15" s="104"/>
      <c r="I15" s="104"/>
    </row>
    <row r="16" spans="1:9" ht="20.25">
      <c r="B16" s="429" t="s">
        <v>235</v>
      </c>
      <c r="C16" s="430">
        <f>+C15+C8</f>
        <v>98896424</v>
      </c>
    </row>
    <row r="18" spans="3:3">
      <c r="C18" s="72">
        <f>+'5.a sz.mell.'!I63</f>
        <v>98896424</v>
      </c>
    </row>
  </sheetData>
  <mergeCells count="2">
    <mergeCell ref="A1:C1"/>
    <mergeCell ref="B4:C4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theme="9" tint="-0.249977111117893"/>
    <pageSetUpPr fitToPage="1"/>
  </sheetPr>
  <dimension ref="A1:W20"/>
  <sheetViews>
    <sheetView view="pageBreakPreview" zoomScale="70" zoomScaleNormal="70" zoomScaleSheetLayoutView="70" workbookViewId="0">
      <selection sqref="A1:N1"/>
    </sheetView>
  </sheetViews>
  <sheetFormatPr defaultColWidth="8.85546875" defaultRowHeight="12.75"/>
  <cols>
    <col min="1" max="1" width="29.28515625" style="37" customWidth="1"/>
    <col min="2" max="2" width="22.7109375" style="37" customWidth="1"/>
    <col min="3" max="3" width="23.7109375" style="37" customWidth="1"/>
    <col min="4" max="4" width="22.5703125" style="37" customWidth="1"/>
    <col min="5" max="5" width="23" style="37" customWidth="1"/>
    <col min="6" max="6" width="22.140625" style="37" customWidth="1"/>
    <col min="7" max="8" width="17" style="37" customWidth="1"/>
    <col min="9" max="9" width="17" style="37" bestFit="1" customWidth="1"/>
    <col min="10" max="10" width="22.140625" style="37" customWidth="1"/>
    <col min="11" max="11" width="17" style="37" bestFit="1" customWidth="1"/>
    <col min="12" max="21" width="22" style="37" bestFit="1" customWidth="1"/>
    <col min="22" max="22" width="21.5703125" style="37" bestFit="1" customWidth="1"/>
    <col min="23" max="23" width="10.42578125" style="37" customWidth="1"/>
    <col min="24" max="16384" width="8.85546875" style="37"/>
  </cols>
  <sheetData>
    <row r="1" spans="1:23" ht="15.75">
      <c r="A1" s="645" t="s">
        <v>611</v>
      </c>
      <c r="B1" s="645"/>
      <c r="C1" s="645"/>
      <c r="D1" s="645"/>
      <c r="E1" s="645"/>
      <c r="F1" s="645"/>
      <c r="G1" s="645"/>
      <c r="H1" s="645"/>
      <c r="I1" s="645"/>
      <c r="J1" s="645"/>
      <c r="K1" s="645"/>
      <c r="L1" s="645"/>
      <c r="M1" s="645"/>
      <c r="N1" s="645"/>
      <c r="O1" s="254"/>
      <c r="P1" s="254"/>
      <c r="Q1" s="254"/>
      <c r="R1" s="254"/>
      <c r="S1" s="254"/>
      <c r="T1" s="254"/>
      <c r="U1" s="254"/>
      <c r="V1" s="254"/>
      <c r="W1" s="93"/>
    </row>
    <row r="2" spans="1:23" ht="20.25" customHeight="1">
      <c r="A2" s="724" t="s">
        <v>70</v>
      </c>
      <c r="B2" s="724"/>
      <c r="C2" s="724"/>
      <c r="D2" s="724"/>
      <c r="E2" s="724"/>
      <c r="F2" s="724"/>
      <c r="G2" s="724"/>
      <c r="H2" s="724"/>
      <c r="I2" s="724"/>
      <c r="J2" s="724"/>
      <c r="K2" s="724"/>
      <c r="L2" s="724"/>
      <c r="M2" s="724"/>
      <c r="N2" s="724"/>
      <c r="O2" s="272"/>
      <c r="P2" s="272"/>
      <c r="Q2" s="272"/>
      <c r="R2" s="272"/>
      <c r="S2" s="272"/>
      <c r="T2" s="272"/>
      <c r="U2" s="272"/>
      <c r="V2" s="272"/>
      <c r="W2" s="272"/>
    </row>
    <row r="3" spans="1:23" ht="15.75" thickBot="1">
      <c r="A3" s="94"/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5"/>
      <c r="N3" s="95" t="s">
        <v>320</v>
      </c>
      <c r="O3" s="95"/>
      <c r="P3" s="95"/>
      <c r="Q3" s="95"/>
      <c r="R3" s="95"/>
      <c r="S3" s="95"/>
      <c r="T3" s="95"/>
      <c r="U3" s="95"/>
      <c r="W3" s="94"/>
    </row>
    <row r="4" spans="1:23" ht="15.75">
      <c r="A4" s="720" t="s">
        <v>71</v>
      </c>
      <c r="B4" s="310"/>
      <c r="C4" s="310"/>
      <c r="D4" s="310"/>
      <c r="E4" s="310"/>
      <c r="F4" s="310"/>
      <c r="G4" s="310"/>
      <c r="H4" s="310"/>
      <c r="I4" s="310"/>
      <c r="J4" s="310"/>
      <c r="K4" s="310"/>
      <c r="L4" s="310"/>
      <c r="M4" s="310"/>
      <c r="N4" s="310"/>
    </row>
    <row r="5" spans="1:23" ht="16.5" thickBot="1">
      <c r="A5" s="721"/>
      <c r="B5" s="311" t="s">
        <v>73</v>
      </c>
      <c r="C5" s="311" t="s">
        <v>74</v>
      </c>
      <c r="D5" s="311" t="s">
        <v>75</v>
      </c>
      <c r="E5" s="311" t="s">
        <v>76</v>
      </c>
      <c r="F5" s="311" t="s">
        <v>77</v>
      </c>
      <c r="G5" s="311" t="s">
        <v>78</v>
      </c>
      <c r="H5" s="311" t="s">
        <v>79</v>
      </c>
      <c r="I5" s="311" t="s">
        <v>80</v>
      </c>
      <c r="J5" s="311" t="s">
        <v>81</v>
      </c>
      <c r="K5" s="311" t="s">
        <v>82</v>
      </c>
      <c r="L5" s="311" t="s">
        <v>83</v>
      </c>
      <c r="M5" s="311">
        <v>2031</v>
      </c>
    </row>
    <row r="6" spans="1:23" ht="36">
      <c r="A6" s="96" t="s">
        <v>87</v>
      </c>
      <c r="B6" s="312">
        <f>7500000+60000000+6000000</f>
        <v>73500000</v>
      </c>
      <c r="C6" s="312">
        <v>60000000</v>
      </c>
      <c r="D6" s="312">
        <v>60000000</v>
      </c>
      <c r="E6" s="312">
        <v>60000000</v>
      </c>
      <c r="F6" s="312">
        <v>60000000</v>
      </c>
      <c r="G6" s="312">
        <v>60000000</v>
      </c>
      <c r="H6" s="312">
        <v>60000000</v>
      </c>
      <c r="I6" s="312">
        <v>60000000</v>
      </c>
      <c r="J6" s="312">
        <v>60000000</v>
      </c>
      <c r="K6" s="312">
        <v>60000000</v>
      </c>
      <c r="L6" s="312">
        <v>60000000</v>
      </c>
      <c r="M6" s="312">
        <v>60000000</v>
      </c>
    </row>
    <row r="7" spans="1:23" ht="54">
      <c r="A7" s="97" t="s">
        <v>311</v>
      </c>
      <c r="B7" s="314">
        <v>17145000</v>
      </c>
      <c r="C7" s="314">
        <v>15000000</v>
      </c>
      <c r="D7" s="314">
        <v>15000000</v>
      </c>
      <c r="E7" s="314">
        <v>15000000</v>
      </c>
      <c r="F7" s="314">
        <v>15000000</v>
      </c>
      <c r="G7" s="314">
        <v>15000000</v>
      </c>
      <c r="H7" s="314">
        <v>15000000</v>
      </c>
      <c r="I7" s="314">
        <v>15000000</v>
      </c>
      <c r="J7" s="314">
        <v>15000000</v>
      </c>
      <c r="K7" s="314">
        <v>15000000</v>
      </c>
      <c r="L7" s="314">
        <v>15000000</v>
      </c>
      <c r="M7" s="314">
        <v>15000000</v>
      </c>
    </row>
    <row r="8" spans="1:23" ht="36.75" thickBot="1">
      <c r="A8" s="98" t="s">
        <v>88</v>
      </c>
      <c r="B8" s="315">
        <v>5700000</v>
      </c>
      <c r="C8" s="315">
        <v>2000000</v>
      </c>
      <c r="D8" s="315">
        <v>2000000</v>
      </c>
      <c r="E8" s="315">
        <v>2000000</v>
      </c>
      <c r="F8" s="315">
        <v>2000000</v>
      </c>
      <c r="G8" s="315">
        <v>2000000</v>
      </c>
      <c r="H8" s="315">
        <v>2000000</v>
      </c>
      <c r="I8" s="315">
        <v>2000000</v>
      </c>
      <c r="J8" s="315">
        <v>2000000</v>
      </c>
      <c r="K8" s="315">
        <v>2000000</v>
      </c>
      <c r="L8" s="315">
        <v>2000000</v>
      </c>
      <c r="M8" s="315">
        <v>2000000</v>
      </c>
    </row>
    <row r="9" spans="1:23" ht="18.75" thickBot="1">
      <c r="A9" s="99" t="s">
        <v>89</v>
      </c>
      <c r="B9" s="316">
        <f t="shared" ref="B9:M9" si="0">SUM(B6:B8)</f>
        <v>96345000</v>
      </c>
      <c r="C9" s="316">
        <f t="shared" si="0"/>
        <v>77000000</v>
      </c>
      <c r="D9" s="316">
        <f t="shared" si="0"/>
        <v>77000000</v>
      </c>
      <c r="E9" s="316">
        <f t="shared" si="0"/>
        <v>77000000</v>
      </c>
      <c r="F9" s="316">
        <f t="shared" si="0"/>
        <v>77000000</v>
      </c>
      <c r="G9" s="316">
        <f t="shared" si="0"/>
        <v>77000000</v>
      </c>
      <c r="H9" s="316">
        <f t="shared" si="0"/>
        <v>77000000</v>
      </c>
      <c r="I9" s="316">
        <f t="shared" si="0"/>
        <v>77000000</v>
      </c>
      <c r="J9" s="316">
        <f t="shared" si="0"/>
        <v>77000000</v>
      </c>
      <c r="K9" s="316">
        <f t="shared" si="0"/>
        <v>77000000</v>
      </c>
      <c r="L9" s="316">
        <f t="shared" si="0"/>
        <v>77000000</v>
      </c>
      <c r="M9" s="316">
        <f t="shared" si="0"/>
        <v>77000000</v>
      </c>
    </row>
    <row r="10" spans="1:23" ht="228" thickBot="1">
      <c r="A10" s="100" t="s">
        <v>90</v>
      </c>
      <c r="B10" s="317">
        <v>1900000</v>
      </c>
      <c r="C10" s="317">
        <v>1850000</v>
      </c>
      <c r="D10" s="317">
        <v>1800000</v>
      </c>
      <c r="E10" s="317">
        <v>1750000</v>
      </c>
      <c r="F10" s="317">
        <v>1700000</v>
      </c>
      <c r="G10" s="317">
        <v>1650000</v>
      </c>
      <c r="H10" s="317">
        <v>1600000</v>
      </c>
      <c r="I10" s="317">
        <v>1550000</v>
      </c>
      <c r="J10" s="317">
        <v>1500000</v>
      </c>
      <c r="K10" s="317">
        <v>1450000</v>
      </c>
      <c r="L10" s="317">
        <v>1400000</v>
      </c>
      <c r="M10" s="317">
        <v>1350000</v>
      </c>
    </row>
    <row r="13" spans="1:23" ht="13.5" thickBot="1">
      <c r="C13" s="365"/>
      <c r="D13" s="365"/>
      <c r="E13" s="365"/>
      <c r="F13" s="365"/>
      <c r="G13" s="365"/>
      <c r="H13" s="365"/>
    </row>
    <row r="14" spans="1:23" ht="15.75">
      <c r="A14" s="720" t="s">
        <v>71</v>
      </c>
      <c r="B14" s="310"/>
      <c r="C14" s="310"/>
      <c r="D14" s="310"/>
      <c r="E14" s="310"/>
      <c r="F14" s="310"/>
      <c r="G14" s="310"/>
      <c r="H14" s="310"/>
      <c r="I14" s="310"/>
      <c r="J14" s="722" t="s">
        <v>72</v>
      </c>
    </row>
    <row r="15" spans="1:23" ht="16.5" thickBot="1">
      <c r="A15" s="721"/>
      <c r="B15" s="311" t="s">
        <v>84</v>
      </c>
      <c r="C15" s="311" t="s">
        <v>85</v>
      </c>
      <c r="D15" s="311" t="s">
        <v>86</v>
      </c>
      <c r="E15" s="311" t="s">
        <v>310</v>
      </c>
      <c r="F15" s="311" t="s">
        <v>325</v>
      </c>
      <c r="G15" s="311" t="s">
        <v>358</v>
      </c>
      <c r="H15" s="311" t="s">
        <v>532</v>
      </c>
      <c r="I15" s="311" t="s">
        <v>594</v>
      </c>
      <c r="J15" s="723"/>
    </row>
    <row r="16" spans="1:23" ht="36">
      <c r="A16" s="96" t="s">
        <v>87</v>
      </c>
      <c r="B16" s="312">
        <v>60000000</v>
      </c>
      <c r="C16" s="312">
        <v>60000000</v>
      </c>
      <c r="D16" s="312">
        <v>60000000</v>
      </c>
      <c r="E16" s="312">
        <v>60000000</v>
      </c>
      <c r="F16" s="312">
        <v>60000000</v>
      </c>
      <c r="G16" s="312">
        <v>60000000</v>
      </c>
      <c r="H16" s="312">
        <v>60000000</v>
      </c>
      <c r="I16" s="312">
        <v>60000000</v>
      </c>
      <c r="J16" s="313">
        <f>SUM(B6:M6)+B16+C16+D16+E16+F16+G16+H16</f>
        <v>1153500000</v>
      </c>
    </row>
    <row r="17" spans="1:10" ht="54">
      <c r="A17" s="97" t="s">
        <v>311</v>
      </c>
      <c r="B17" s="314">
        <v>15000000</v>
      </c>
      <c r="C17" s="314">
        <v>15000000</v>
      </c>
      <c r="D17" s="314">
        <v>15000000</v>
      </c>
      <c r="E17" s="314">
        <v>15000000</v>
      </c>
      <c r="F17" s="314">
        <v>15000000</v>
      </c>
      <c r="G17" s="314">
        <v>15000000</v>
      </c>
      <c r="H17" s="314">
        <v>15000000</v>
      </c>
      <c r="I17" s="314">
        <v>15000000</v>
      </c>
      <c r="J17" s="313">
        <f>SUM(B7:M7)+G17+F17+E17+D17+C17+B17+H17</f>
        <v>287145000</v>
      </c>
    </row>
    <row r="18" spans="1:10" ht="36.75" thickBot="1">
      <c r="A18" s="98" t="s">
        <v>88</v>
      </c>
      <c r="B18" s="315">
        <v>2000000</v>
      </c>
      <c r="C18" s="315">
        <v>2000000</v>
      </c>
      <c r="D18" s="315">
        <v>2000000</v>
      </c>
      <c r="E18" s="315">
        <v>2000000</v>
      </c>
      <c r="F18" s="315">
        <v>2000000</v>
      </c>
      <c r="G18" s="315">
        <v>2000000</v>
      </c>
      <c r="H18" s="315">
        <v>2000000</v>
      </c>
      <c r="I18" s="315">
        <v>2000000</v>
      </c>
      <c r="J18" s="313">
        <f>SUM(B8:M8)+H18+G18+F18+E18+D18+C18+B18</f>
        <v>41700000</v>
      </c>
    </row>
    <row r="19" spans="1:10" ht="18.75" thickBot="1">
      <c r="A19" s="99" t="s">
        <v>89</v>
      </c>
      <c r="B19" s="316">
        <f t="shared" ref="B19:H19" si="1">SUM(B16:B18)</f>
        <v>77000000</v>
      </c>
      <c r="C19" s="316">
        <f t="shared" si="1"/>
        <v>77000000</v>
      </c>
      <c r="D19" s="316">
        <f t="shared" si="1"/>
        <v>77000000</v>
      </c>
      <c r="E19" s="316">
        <f t="shared" si="1"/>
        <v>77000000</v>
      </c>
      <c r="F19" s="316">
        <f t="shared" si="1"/>
        <v>77000000</v>
      </c>
      <c r="G19" s="316">
        <f t="shared" si="1"/>
        <v>77000000</v>
      </c>
      <c r="H19" s="316">
        <f t="shared" si="1"/>
        <v>77000000</v>
      </c>
      <c r="I19" s="316">
        <f t="shared" ref="I19" si="2">SUM(I16:I18)</f>
        <v>77000000</v>
      </c>
      <c r="J19" s="313">
        <f>+J16+J17+J18</f>
        <v>1482345000</v>
      </c>
    </row>
    <row r="20" spans="1:10" ht="228" thickBot="1">
      <c r="A20" s="100" t="s">
        <v>90</v>
      </c>
      <c r="B20" s="317">
        <v>1300000</v>
      </c>
      <c r="C20" s="317">
        <v>1250000</v>
      </c>
      <c r="D20" s="317">
        <v>1200000</v>
      </c>
      <c r="E20" s="317">
        <v>1150000</v>
      </c>
      <c r="F20" s="317">
        <v>1100000</v>
      </c>
      <c r="G20" s="317">
        <v>1050000</v>
      </c>
      <c r="H20" s="317">
        <v>1000000</v>
      </c>
      <c r="I20" s="317">
        <f>+H20-50000</f>
        <v>950000</v>
      </c>
      <c r="J20" s="313">
        <f>SUM(B10:M10)+H20+G20+F20+E20+D20+C20+B20</f>
        <v>27550000</v>
      </c>
    </row>
  </sheetData>
  <mergeCells count="5">
    <mergeCell ref="A4:A5"/>
    <mergeCell ref="J14:J15"/>
    <mergeCell ref="A14:A15"/>
    <mergeCell ref="A2:N2"/>
    <mergeCell ref="A1:N1"/>
  </mergeCells>
  <phoneticPr fontId="0" type="noConversion"/>
  <pageMargins left="0.74803149606299213" right="0.74803149606299213" top="0.98425196850393704" bottom="0.98425196850393704" header="0.51181102362204722" footer="0.51181102362204722"/>
  <pageSetup paperSize="8" scale="43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>
  <sheetPr>
    <tabColor theme="9" tint="-0.249977111117893"/>
  </sheetPr>
  <dimension ref="A1:K58"/>
  <sheetViews>
    <sheetView view="pageBreakPreview" zoomScale="60" zoomScaleNormal="100" workbookViewId="0">
      <selection activeCell="J50" sqref="J50"/>
    </sheetView>
  </sheetViews>
  <sheetFormatPr defaultRowHeight="15"/>
  <cols>
    <col min="1" max="1" width="27.42578125" customWidth="1"/>
    <col min="2" max="2" width="24.140625" customWidth="1"/>
    <col min="3" max="3" width="24.28515625" customWidth="1"/>
    <col min="4" max="4" width="19.28515625" customWidth="1"/>
    <col min="5" max="6" width="20.7109375" customWidth="1"/>
    <col min="7" max="7" width="16.28515625" customWidth="1"/>
  </cols>
  <sheetData>
    <row r="1" spans="1:11" ht="15.75">
      <c r="A1" s="726" t="s">
        <v>612</v>
      </c>
      <c r="B1" s="726"/>
      <c r="C1" s="726"/>
      <c r="D1" s="726"/>
      <c r="E1" s="726"/>
      <c r="F1" s="726"/>
      <c r="G1" s="726"/>
      <c r="H1" s="451"/>
      <c r="I1" s="451"/>
      <c r="J1" s="451"/>
      <c r="K1" s="128"/>
    </row>
    <row r="2" spans="1:11" ht="15.75">
      <c r="A2" s="728" t="s">
        <v>63</v>
      </c>
      <c r="B2" s="728"/>
      <c r="C2" s="728"/>
      <c r="D2" s="728"/>
      <c r="E2" s="728"/>
      <c r="F2" s="728"/>
      <c r="G2" s="728"/>
      <c r="H2" s="129"/>
      <c r="I2" s="129"/>
      <c r="J2" s="129"/>
      <c r="K2" s="128"/>
    </row>
    <row r="3" spans="1:11">
      <c r="A3" s="728"/>
      <c r="B3" s="728"/>
      <c r="C3" s="728"/>
      <c r="D3" s="728"/>
      <c r="E3" s="728"/>
      <c r="F3" s="728"/>
      <c r="G3" s="728"/>
      <c r="H3" s="533"/>
      <c r="I3" s="533"/>
      <c r="J3" s="533"/>
    </row>
    <row r="4" spans="1:11" ht="41.45" customHeight="1">
      <c r="A4" s="727" t="s">
        <v>92</v>
      </c>
      <c r="B4" s="727"/>
      <c r="C4" s="727"/>
      <c r="D4" s="727"/>
      <c r="E4" s="727"/>
      <c r="F4" s="727"/>
      <c r="G4" s="727"/>
      <c r="H4" s="532"/>
      <c r="I4" s="532"/>
      <c r="J4" s="532"/>
    </row>
    <row r="7" spans="1:11" ht="24" customHeight="1">
      <c r="A7" s="729" t="s">
        <v>465</v>
      </c>
      <c r="B7" s="729"/>
      <c r="C7" s="729"/>
      <c r="D7" s="729"/>
      <c r="E7" s="729"/>
      <c r="F7" s="729"/>
      <c r="G7" s="729"/>
      <c r="H7" s="534"/>
      <c r="I7" s="534"/>
      <c r="J7" s="534"/>
    </row>
    <row r="9" spans="1:11" ht="30">
      <c r="A9" s="517" t="s">
        <v>469</v>
      </c>
      <c r="B9" s="518">
        <v>2019</v>
      </c>
      <c r="C9" s="518">
        <v>2020</v>
      </c>
      <c r="D9" s="518">
        <v>2021</v>
      </c>
      <c r="E9" s="518">
        <v>2022</v>
      </c>
      <c r="F9" s="518" t="s">
        <v>89</v>
      </c>
    </row>
    <row r="10" spans="1:11" s="521" customFormat="1" ht="21.75" customHeight="1">
      <c r="A10" s="519" t="s">
        <v>466</v>
      </c>
      <c r="B10" s="520">
        <f>+((C19+C20+C21+C22+C23+C24+C25+C26)/127)*100</f>
        <v>1001484.2519685038</v>
      </c>
      <c r="C10" s="520">
        <f>((+C31+C32+C33+C34+C35+C36+C37+C38+C39+C40+C41+C42)/127)*100</f>
        <v>545951.18110236223</v>
      </c>
      <c r="D10" s="520">
        <f>((C39+C40+C41+C42+C43+C44+C45+C46+C47+C48+C49+C50)/127)*100+1</f>
        <v>563832.49606299214</v>
      </c>
      <c r="E10" s="520">
        <f>((C51+C52+C53+C54+C55)/127)*100</f>
        <v>243060.62992125985</v>
      </c>
      <c r="F10" s="526">
        <f>E10+D10+C10+B10</f>
        <v>2354328.5590551179</v>
      </c>
    </row>
    <row r="11" spans="1:11" s="521" customFormat="1" ht="21.75" customHeight="1">
      <c r="A11" s="519" t="s">
        <v>468</v>
      </c>
      <c r="B11" s="520">
        <f>+B10*0.27</f>
        <v>270400.74803149607</v>
      </c>
      <c r="C11" s="520">
        <f>+C10*0.27</f>
        <v>147406.8188976378</v>
      </c>
      <c r="D11" s="520">
        <f>+D10*0.27</f>
        <v>152234.77393700788</v>
      </c>
      <c r="E11" s="520">
        <f>+E10*0.27</f>
        <v>65626.370078740161</v>
      </c>
      <c r="F11" s="526">
        <f t="shared" ref="F11:F13" si="0">E11+D11+C11+B11</f>
        <v>635668.7109448819</v>
      </c>
    </row>
    <row r="12" spans="1:11" s="521" customFormat="1" ht="21.75" customHeight="1">
      <c r="A12" s="519" t="s">
        <v>467</v>
      </c>
      <c r="B12" s="520">
        <f>+D20+D21+D22+D23+D24+D25+D26</f>
        <v>59237</v>
      </c>
      <c r="C12" s="520">
        <f>+D31+D32+D33+D34+D35+D36+D37+D38+D39+D40+D41+D42</f>
        <v>56508</v>
      </c>
      <c r="D12" s="520">
        <f>+D39+D40+D41+D42+D43+D44+D45+D46+D47+D48+D49+D50</f>
        <v>33798</v>
      </c>
      <c r="E12" s="520">
        <f>+D51+D52+D53+D54+D55</f>
        <v>3760</v>
      </c>
      <c r="F12" s="526">
        <f t="shared" si="0"/>
        <v>153303</v>
      </c>
    </row>
    <row r="13" spans="1:11" s="521" customFormat="1" ht="21.75" customHeight="1">
      <c r="A13" s="519" t="s">
        <v>72</v>
      </c>
      <c r="B13" s="520">
        <f>+B10+B11+B12</f>
        <v>1331122</v>
      </c>
      <c r="C13" s="520">
        <f t="shared" ref="C13" si="1">+C10+C11+C12</f>
        <v>749866</v>
      </c>
      <c r="D13" s="520">
        <f>+D10+D11+D12</f>
        <v>749865.27</v>
      </c>
      <c r="E13" s="520">
        <f>+E10+E11+E12</f>
        <v>312447</v>
      </c>
      <c r="F13" s="526">
        <f t="shared" si="0"/>
        <v>3143300.27</v>
      </c>
    </row>
    <row r="14" spans="1:11">
      <c r="B14" s="627"/>
      <c r="C14" s="627"/>
      <c r="D14" s="627"/>
      <c r="E14" s="627"/>
      <c r="F14" s="515"/>
      <c r="G14" s="515"/>
    </row>
    <row r="15" spans="1:11">
      <c r="B15" s="627"/>
      <c r="G15" s="515"/>
    </row>
    <row r="16" spans="1:11" ht="22.5" customHeight="1">
      <c r="A16" s="725" t="s">
        <v>470</v>
      </c>
      <c r="B16" s="725"/>
      <c r="C16" s="725"/>
      <c r="D16" s="725"/>
      <c r="E16" s="725"/>
      <c r="F16" s="725"/>
      <c r="G16" s="725"/>
    </row>
    <row r="18" spans="2:6" ht="27.75" customHeight="1">
      <c r="B18" s="518" t="s">
        <v>471</v>
      </c>
      <c r="C18" s="518" t="s">
        <v>472</v>
      </c>
      <c r="D18" s="518" t="s">
        <v>474</v>
      </c>
      <c r="E18" s="518" t="s">
        <v>473</v>
      </c>
      <c r="F18" s="604"/>
    </row>
    <row r="19" spans="2:6" ht="27.75" customHeight="1">
      <c r="B19" s="525" t="s">
        <v>476</v>
      </c>
      <c r="C19" s="520">
        <v>893700</v>
      </c>
      <c r="D19" s="518">
        <v>0</v>
      </c>
      <c r="E19" s="520">
        <f>+C19+D19</f>
        <v>893700</v>
      </c>
      <c r="F19" s="605"/>
    </row>
    <row r="20" spans="2:6">
      <c r="B20" s="522">
        <v>43633</v>
      </c>
      <c r="C20" s="516">
        <v>48965</v>
      </c>
      <c r="D20" s="516">
        <v>13524</v>
      </c>
      <c r="E20" s="516">
        <f>+C20+D20</f>
        <v>62489</v>
      </c>
      <c r="F20" s="606"/>
    </row>
    <row r="21" spans="2:6">
      <c r="B21" s="522">
        <v>43661</v>
      </c>
      <c r="C21" s="516">
        <v>54943</v>
      </c>
      <c r="D21" s="516">
        <v>7546</v>
      </c>
      <c r="E21" s="516">
        <f t="shared" ref="E21:E55" si="2">+C21+D21</f>
        <v>62489</v>
      </c>
      <c r="F21" s="606"/>
    </row>
    <row r="22" spans="2:6">
      <c r="B22" s="522">
        <v>43692</v>
      </c>
      <c r="C22" s="516">
        <v>54359</v>
      </c>
      <c r="D22" s="516">
        <v>8129</v>
      </c>
      <c r="E22" s="516">
        <f t="shared" si="2"/>
        <v>62488</v>
      </c>
      <c r="F22" s="606"/>
    </row>
    <row r="23" spans="2:6">
      <c r="B23" s="522">
        <v>43724</v>
      </c>
      <c r="C23" s="516">
        <v>54327</v>
      </c>
      <c r="D23" s="516">
        <v>8162</v>
      </c>
      <c r="E23" s="516">
        <f t="shared" si="2"/>
        <v>62489</v>
      </c>
      <c r="F23" s="606"/>
    </row>
    <row r="24" spans="2:6">
      <c r="B24" s="522">
        <v>43753</v>
      </c>
      <c r="C24" s="516">
        <v>55301</v>
      </c>
      <c r="D24" s="516">
        <v>7188</v>
      </c>
      <c r="E24" s="516">
        <f t="shared" si="2"/>
        <v>62489</v>
      </c>
      <c r="F24" s="606"/>
    </row>
    <row r="25" spans="2:6">
      <c r="B25" s="522">
        <v>43784</v>
      </c>
      <c r="C25" s="516">
        <v>55032</v>
      </c>
      <c r="D25" s="516">
        <v>7457</v>
      </c>
      <c r="E25" s="516">
        <f t="shared" si="2"/>
        <v>62489</v>
      </c>
      <c r="F25" s="606"/>
    </row>
    <row r="26" spans="2:6">
      <c r="B26" s="522">
        <v>43815</v>
      </c>
      <c r="C26" s="516">
        <v>55258</v>
      </c>
      <c r="D26" s="516">
        <v>7231</v>
      </c>
      <c r="E26" s="516">
        <f t="shared" si="2"/>
        <v>62489</v>
      </c>
      <c r="F26" s="606"/>
    </row>
    <row r="27" spans="2:6">
      <c r="B27" s="522">
        <v>43845</v>
      </c>
      <c r="C27" s="516">
        <v>55711</v>
      </c>
      <c r="D27" s="516">
        <v>6778</v>
      </c>
      <c r="E27" s="516">
        <f t="shared" si="2"/>
        <v>62489</v>
      </c>
      <c r="F27" s="606"/>
    </row>
    <row r="28" spans="2:6">
      <c r="B28" s="522">
        <v>43878</v>
      </c>
      <c r="C28" s="516">
        <v>55276</v>
      </c>
      <c r="D28" s="516">
        <v>7213</v>
      </c>
      <c r="E28" s="516">
        <f t="shared" si="2"/>
        <v>62489</v>
      </c>
      <c r="F28" s="606"/>
    </row>
    <row r="29" spans="2:6">
      <c r="B29" s="522">
        <v>43906</v>
      </c>
      <c r="C29" s="516">
        <v>56574</v>
      </c>
      <c r="D29" s="516">
        <v>5915</v>
      </c>
      <c r="E29" s="516">
        <f t="shared" si="2"/>
        <v>62489</v>
      </c>
      <c r="F29" s="606"/>
    </row>
    <row r="30" spans="2:6">
      <c r="B30" s="522">
        <v>43936</v>
      </c>
      <c r="C30" s="516">
        <v>56376</v>
      </c>
      <c r="D30" s="516">
        <v>6113</v>
      </c>
      <c r="E30" s="516">
        <f t="shared" si="2"/>
        <v>62489</v>
      </c>
      <c r="F30" s="606"/>
    </row>
    <row r="31" spans="2:6">
      <c r="B31" s="522">
        <v>43966</v>
      </c>
      <c r="C31" s="516">
        <v>56600</v>
      </c>
      <c r="D31" s="516">
        <v>5889</v>
      </c>
      <c r="E31" s="516">
        <f t="shared" si="2"/>
        <v>62489</v>
      </c>
      <c r="F31" s="606"/>
    </row>
    <row r="32" spans="2:6">
      <c r="B32" s="522">
        <v>43997</v>
      </c>
      <c r="C32" s="516">
        <v>56636</v>
      </c>
      <c r="D32" s="516">
        <v>5853</v>
      </c>
      <c r="E32" s="516">
        <f t="shared" si="2"/>
        <v>62489</v>
      </c>
      <c r="F32" s="606"/>
    </row>
    <row r="33" spans="2:6">
      <c r="B33" s="522">
        <v>44027</v>
      </c>
      <c r="C33" s="516">
        <v>57049</v>
      </c>
      <c r="D33" s="516">
        <v>5439</v>
      </c>
      <c r="E33" s="516">
        <f t="shared" si="2"/>
        <v>62488</v>
      </c>
      <c r="F33" s="606"/>
    </row>
    <row r="34" spans="2:6">
      <c r="B34" s="522">
        <v>44060</v>
      </c>
      <c r="C34" s="516">
        <v>56755</v>
      </c>
      <c r="D34" s="516">
        <v>5734</v>
      </c>
      <c r="E34" s="516">
        <f t="shared" si="2"/>
        <v>62489</v>
      </c>
      <c r="F34" s="606"/>
    </row>
    <row r="35" spans="2:6">
      <c r="B35" s="522">
        <v>44089</v>
      </c>
      <c r="C35" s="516">
        <v>57668</v>
      </c>
      <c r="D35" s="516">
        <v>4821</v>
      </c>
      <c r="E35" s="516">
        <f t="shared" si="2"/>
        <v>62489</v>
      </c>
      <c r="F35" s="606"/>
    </row>
    <row r="36" spans="2:6">
      <c r="B36" s="522">
        <v>44119</v>
      </c>
      <c r="C36" s="516">
        <v>57730</v>
      </c>
      <c r="D36" s="516">
        <v>4759</v>
      </c>
      <c r="E36" s="516">
        <f t="shared" si="2"/>
        <v>62489</v>
      </c>
      <c r="F36" s="606"/>
    </row>
    <row r="37" spans="2:6">
      <c r="B37" s="522">
        <v>44151</v>
      </c>
      <c r="C37" s="516">
        <v>57658</v>
      </c>
      <c r="D37" s="516">
        <v>4831</v>
      </c>
      <c r="E37" s="516">
        <f t="shared" si="2"/>
        <v>62489</v>
      </c>
      <c r="F37" s="606"/>
    </row>
    <row r="38" spans="2:6">
      <c r="B38" s="522">
        <v>44180</v>
      </c>
      <c r="C38" s="516">
        <v>58332</v>
      </c>
      <c r="D38" s="516">
        <v>4157</v>
      </c>
      <c r="E38" s="516">
        <f t="shared" si="2"/>
        <v>62489</v>
      </c>
      <c r="F38" s="606"/>
    </row>
    <row r="39" spans="2:6">
      <c r="B39" s="522">
        <v>44211</v>
      </c>
      <c r="C39" s="516">
        <v>58284</v>
      </c>
      <c r="D39" s="516">
        <v>4204</v>
      </c>
      <c r="E39" s="516">
        <f t="shared" si="2"/>
        <v>62488</v>
      </c>
      <c r="F39" s="606"/>
    </row>
    <row r="40" spans="2:6">
      <c r="B40" s="522">
        <v>44242</v>
      </c>
      <c r="C40" s="516">
        <v>58524</v>
      </c>
      <c r="D40" s="516">
        <v>3965</v>
      </c>
      <c r="E40" s="516">
        <f t="shared" si="2"/>
        <v>62489</v>
      </c>
      <c r="F40" s="606"/>
    </row>
    <row r="41" spans="2:6">
      <c r="B41" s="522">
        <v>44271</v>
      </c>
      <c r="C41" s="516">
        <v>59004</v>
      </c>
      <c r="D41" s="516">
        <v>3485</v>
      </c>
      <c r="E41" s="516">
        <f t="shared" si="2"/>
        <v>62489</v>
      </c>
      <c r="F41" s="606"/>
    </row>
    <row r="42" spans="2:6">
      <c r="B42" s="522">
        <v>44301</v>
      </c>
      <c r="C42" s="516">
        <v>59118</v>
      </c>
      <c r="D42" s="516">
        <v>3371</v>
      </c>
      <c r="E42" s="516">
        <f t="shared" si="2"/>
        <v>62489</v>
      </c>
      <c r="F42" s="606"/>
    </row>
    <row r="43" spans="2:6">
      <c r="B43" s="522">
        <v>44333</v>
      </c>
      <c r="C43" s="516">
        <v>59144</v>
      </c>
      <c r="D43" s="516">
        <v>3345</v>
      </c>
      <c r="E43" s="516">
        <f t="shared" si="2"/>
        <v>62489</v>
      </c>
      <c r="F43" s="606"/>
    </row>
    <row r="44" spans="2:6">
      <c r="B44" s="522">
        <v>44362</v>
      </c>
      <c r="C44" s="516">
        <v>59684</v>
      </c>
      <c r="D44" s="516">
        <v>2804</v>
      </c>
      <c r="E44" s="516">
        <f t="shared" si="2"/>
        <v>62488</v>
      </c>
      <c r="F44" s="606"/>
    </row>
    <row r="45" spans="2:6">
      <c r="B45" s="522">
        <v>44392</v>
      </c>
      <c r="C45" s="516">
        <v>59825</v>
      </c>
      <c r="D45" s="516">
        <v>2664</v>
      </c>
      <c r="E45" s="516">
        <f t="shared" si="2"/>
        <v>62489</v>
      </c>
      <c r="F45" s="606"/>
    </row>
    <row r="46" spans="2:6">
      <c r="B46" s="522">
        <v>44424</v>
      </c>
      <c r="C46" s="516">
        <v>59900</v>
      </c>
      <c r="D46" s="516">
        <v>2588</v>
      </c>
      <c r="E46" s="516">
        <f t="shared" si="2"/>
        <v>62488</v>
      </c>
      <c r="F46" s="606"/>
    </row>
    <row r="47" spans="2:6">
      <c r="B47" s="522">
        <v>44454</v>
      </c>
      <c r="C47" s="516">
        <v>60300</v>
      </c>
      <c r="D47" s="516">
        <v>2189</v>
      </c>
      <c r="E47" s="516">
        <f t="shared" si="2"/>
        <v>62489</v>
      </c>
      <c r="F47" s="606"/>
    </row>
    <row r="48" spans="2:6">
      <c r="B48" s="522">
        <v>44484</v>
      </c>
      <c r="C48" s="516">
        <v>60539</v>
      </c>
      <c r="D48" s="516">
        <v>1949</v>
      </c>
      <c r="E48" s="516">
        <f t="shared" si="2"/>
        <v>62488</v>
      </c>
      <c r="F48" s="606"/>
    </row>
    <row r="49" spans="2:6">
      <c r="B49" s="522">
        <v>44515</v>
      </c>
      <c r="C49" s="516">
        <v>60723</v>
      </c>
      <c r="D49" s="516">
        <v>1766</v>
      </c>
      <c r="E49" s="516">
        <f t="shared" si="2"/>
        <v>62489</v>
      </c>
      <c r="F49" s="606"/>
    </row>
    <row r="50" spans="2:6">
      <c r="B50" s="522">
        <v>44545</v>
      </c>
      <c r="C50" s="516">
        <v>61021</v>
      </c>
      <c r="D50" s="516">
        <v>1468</v>
      </c>
      <c r="E50" s="516">
        <f t="shared" si="2"/>
        <v>62489</v>
      </c>
      <c r="F50" s="606"/>
    </row>
    <row r="51" spans="2:6">
      <c r="B51" s="522">
        <v>44576</v>
      </c>
      <c r="C51" s="516">
        <v>61141</v>
      </c>
      <c r="D51" s="516">
        <v>1348</v>
      </c>
      <c r="E51" s="516">
        <f t="shared" si="2"/>
        <v>62489</v>
      </c>
      <c r="F51" s="606"/>
    </row>
    <row r="52" spans="2:6">
      <c r="B52" s="522">
        <v>44607</v>
      </c>
      <c r="C52" s="516">
        <v>61539</v>
      </c>
      <c r="D52" s="516">
        <v>950</v>
      </c>
      <c r="E52" s="516">
        <f t="shared" si="2"/>
        <v>62489</v>
      </c>
      <c r="F52" s="606"/>
    </row>
    <row r="53" spans="2:6">
      <c r="B53" s="522">
        <v>44636</v>
      </c>
      <c r="C53" s="516">
        <v>61775</v>
      </c>
      <c r="D53" s="516">
        <v>714</v>
      </c>
      <c r="E53" s="516">
        <f t="shared" si="2"/>
        <v>62489</v>
      </c>
      <c r="F53" s="606"/>
    </row>
    <row r="54" spans="2:6">
      <c r="B54" s="522">
        <v>44666</v>
      </c>
      <c r="C54" s="516">
        <v>61996</v>
      </c>
      <c r="D54" s="516">
        <v>493</v>
      </c>
      <c r="E54" s="516">
        <f t="shared" si="2"/>
        <v>62489</v>
      </c>
      <c r="F54" s="606"/>
    </row>
    <row r="55" spans="2:6">
      <c r="B55" s="522">
        <v>44697</v>
      </c>
      <c r="C55" s="516">
        <f>62234+2</f>
        <v>62236</v>
      </c>
      <c r="D55" s="516">
        <v>255</v>
      </c>
      <c r="E55" s="516">
        <f t="shared" si="2"/>
        <v>62491</v>
      </c>
      <c r="F55" s="606"/>
    </row>
    <row r="56" spans="2:6" ht="30.75" customHeight="1">
      <c r="B56" s="523" t="s">
        <v>475</v>
      </c>
      <c r="C56" s="524">
        <f>SUM(C19:C55)</f>
        <v>2979003</v>
      </c>
      <c r="D56" s="524">
        <f>SUM(D19:D55)</f>
        <v>164297</v>
      </c>
      <c r="E56" s="524">
        <f>SUM(E19:E55)</f>
        <v>3143300</v>
      </c>
      <c r="F56" s="607"/>
    </row>
    <row r="58" spans="2:6">
      <c r="C58" s="515"/>
      <c r="D58" s="626"/>
    </row>
  </sheetData>
  <mergeCells count="5">
    <mergeCell ref="A16:G16"/>
    <mergeCell ref="A1:G1"/>
    <mergeCell ref="A4:G4"/>
    <mergeCell ref="A2:G3"/>
    <mergeCell ref="A7:G7"/>
  </mergeCells>
  <phoneticPr fontId="0" type="noConversion"/>
  <pageMargins left="0.75" right="0.75" top="1" bottom="1" header="0.5" footer="0.5"/>
  <pageSetup paperSize="9" scale="63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>
  <sheetPr>
    <tabColor theme="9" tint="-0.249977111117893"/>
    <pageSetUpPr fitToPage="1"/>
  </sheetPr>
  <dimension ref="A1:S24"/>
  <sheetViews>
    <sheetView view="pageBreakPreview" zoomScale="80" zoomScaleNormal="80" zoomScaleSheetLayoutView="80" workbookViewId="0">
      <pane xSplit="1" ySplit="1" topLeftCell="B2" activePane="bottomRight" state="frozen"/>
      <selection activeCell="C5" sqref="C5"/>
      <selection pane="topRight" activeCell="C5" sqref="C5"/>
      <selection pane="bottomLeft" activeCell="C5" sqref="C5"/>
      <selection pane="bottomRight" activeCell="H31" sqref="H31"/>
    </sheetView>
  </sheetViews>
  <sheetFormatPr defaultRowHeight="15.75"/>
  <cols>
    <col min="1" max="1" width="36.85546875" style="112" customWidth="1"/>
    <col min="2" max="12" width="20.28515625" style="112" customWidth="1"/>
    <col min="13" max="13" width="20.28515625" style="126" customWidth="1"/>
    <col min="14" max="14" width="20.28515625" style="127" customWidth="1"/>
    <col min="15" max="15" width="16.5703125" style="127" customWidth="1"/>
    <col min="16" max="16" width="17.7109375" style="107" customWidth="1"/>
    <col min="17" max="17" width="14.28515625" style="107" customWidth="1"/>
    <col min="18" max="18" width="12.85546875" style="108" customWidth="1"/>
    <col min="19" max="19" width="12" style="108" bestFit="1" customWidth="1"/>
    <col min="20" max="20" width="11.5703125" style="107" bestFit="1" customWidth="1"/>
    <col min="21" max="21" width="12.140625" style="107" customWidth="1"/>
    <col min="22" max="22" width="11.5703125" style="107" bestFit="1" customWidth="1"/>
    <col min="23" max="23" width="13.28515625" style="107" customWidth="1"/>
    <col min="24" max="24" width="11.5703125" style="107" bestFit="1" customWidth="1"/>
    <col min="25" max="25" width="13.28515625" style="107" customWidth="1"/>
    <col min="26" max="27" width="13.140625" style="107" bestFit="1" customWidth="1"/>
    <col min="28" max="28" width="16.85546875" style="107" customWidth="1"/>
    <col min="29" max="29" width="20.28515625" style="107" customWidth="1"/>
    <col min="30" max="30" width="16.85546875" style="107" customWidth="1"/>
    <col min="31" max="16384" width="9.140625" style="107"/>
  </cols>
  <sheetData>
    <row r="1" spans="1:19">
      <c r="A1" s="730" t="s">
        <v>613</v>
      </c>
      <c r="B1" s="730"/>
      <c r="C1" s="730"/>
      <c r="D1" s="730"/>
      <c r="E1" s="730"/>
      <c r="F1" s="730"/>
      <c r="G1" s="730"/>
      <c r="H1" s="730"/>
      <c r="I1" s="730"/>
      <c r="J1" s="730"/>
      <c r="K1" s="730"/>
      <c r="L1" s="730"/>
      <c r="M1" s="730"/>
      <c r="N1" s="106"/>
      <c r="O1" s="106"/>
    </row>
    <row r="2" spans="1:19" s="110" customFormat="1" ht="28.5" customHeight="1">
      <c r="A2" s="731" t="s">
        <v>487</v>
      </c>
      <c r="B2" s="731"/>
      <c r="C2" s="731"/>
      <c r="D2" s="731"/>
      <c r="E2" s="731"/>
      <c r="F2" s="731"/>
      <c r="G2" s="731"/>
      <c r="H2" s="731"/>
      <c r="I2" s="731"/>
      <c r="J2" s="731"/>
      <c r="K2" s="731"/>
      <c r="L2" s="731"/>
      <c r="M2" s="731"/>
      <c r="N2" s="109"/>
      <c r="O2" s="109"/>
      <c r="R2" s="111"/>
      <c r="S2" s="111"/>
    </row>
    <row r="3" spans="1:19" ht="26.25" customHeight="1" thickBot="1">
      <c r="M3" s="113" t="s">
        <v>320</v>
      </c>
      <c r="N3" s="114"/>
      <c r="O3" s="114"/>
    </row>
    <row r="4" spans="1:19" s="117" customFormat="1" ht="24.95" customHeight="1" thickBot="1">
      <c r="A4" s="115"/>
      <c r="B4" s="123" t="s">
        <v>93</v>
      </c>
      <c r="C4" s="123" t="s">
        <v>94</v>
      </c>
      <c r="D4" s="123" t="s">
        <v>95</v>
      </c>
      <c r="E4" s="123" t="s">
        <v>96</v>
      </c>
      <c r="F4" s="123" t="s">
        <v>97</v>
      </c>
      <c r="G4" s="123" t="s">
        <v>98</v>
      </c>
      <c r="H4" s="123" t="s">
        <v>99</v>
      </c>
      <c r="I4" s="123" t="s">
        <v>100</v>
      </c>
      <c r="J4" s="123" t="s">
        <v>101</v>
      </c>
      <c r="K4" s="123" t="s">
        <v>102</v>
      </c>
      <c r="L4" s="123" t="s">
        <v>103</v>
      </c>
      <c r="M4" s="123" t="s">
        <v>104</v>
      </c>
      <c r="N4" s="608" t="s">
        <v>89</v>
      </c>
      <c r="O4" s="116"/>
      <c r="Q4" s="118"/>
    </row>
    <row r="5" spans="1:19" s="117" customFormat="1" ht="45.75" customHeight="1">
      <c r="A5" s="115"/>
      <c r="B5" s="472" t="s">
        <v>374</v>
      </c>
      <c r="C5" s="472" t="s">
        <v>374</v>
      </c>
      <c r="D5" s="472" t="s">
        <v>374</v>
      </c>
      <c r="E5" s="472" t="s">
        <v>374</v>
      </c>
      <c r="F5" s="472" t="s">
        <v>374</v>
      </c>
      <c r="G5" s="472" t="s">
        <v>374</v>
      </c>
      <c r="H5" s="472" t="s">
        <v>374</v>
      </c>
      <c r="I5" s="472" t="s">
        <v>374</v>
      </c>
      <c r="J5" s="472" t="s">
        <v>374</v>
      </c>
      <c r="K5" s="472" t="s">
        <v>374</v>
      </c>
      <c r="L5" s="472" t="s">
        <v>374</v>
      </c>
      <c r="M5" s="472" t="s">
        <v>374</v>
      </c>
      <c r="N5" s="472" t="s">
        <v>374</v>
      </c>
      <c r="O5" s="116"/>
      <c r="Q5" s="118"/>
    </row>
    <row r="6" spans="1:19" ht="24.95" customHeight="1">
      <c r="A6" s="119" t="s">
        <v>116</v>
      </c>
      <c r="B6" s="392">
        <v>30380654</v>
      </c>
      <c r="C6" s="392">
        <v>30380654</v>
      </c>
      <c r="D6" s="392">
        <v>30380654</v>
      </c>
      <c r="E6" s="392">
        <v>30380654</v>
      </c>
      <c r="F6" s="392">
        <v>30380654</v>
      </c>
      <c r="G6" s="392">
        <v>30380654</v>
      </c>
      <c r="H6" s="392">
        <v>30380654</v>
      </c>
      <c r="I6" s="392">
        <v>30380654</v>
      </c>
      <c r="J6" s="392">
        <v>30380654</v>
      </c>
      <c r="K6" s="392">
        <v>30380654</v>
      </c>
      <c r="L6" s="392">
        <v>30380654</v>
      </c>
      <c r="M6" s="392">
        <f>30380654+2</f>
        <v>30380656</v>
      </c>
      <c r="N6" s="393">
        <f t="shared" ref="N6:N12" si="0">+M6+L6+K6+J6+I6+H6+G6+F6+E6+D6+C6+B6</f>
        <v>364567850</v>
      </c>
      <c r="O6" s="120">
        <f>+'5 b.sz.mell.'!E61</f>
        <v>364567850</v>
      </c>
      <c r="P6" s="391">
        <f>+O6-N6</f>
        <v>0</v>
      </c>
      <c r="Q6" s="108">
        <f>+O6/12</f>
        <v>30380654.166666668</v>
      </c>
      <c r="R6" s="107"/>
      <c r="S6" s="107"/>
    </row>
    <row r="7" spans="1:19" ht="24.95" customHeight="1">
      <c r="A7" s="119" t="s">
        <v>105</v>
      </c>
      <c r="B7" s="392">
        <v>6600000</v>
      </c>
      <c r="C7" s="392">
        <v>6600000</v>
      </c>
      <c r="D7" s="392">
        <v>6600000</v>
      </c>
      <c r="E7" s="392">
        <v>6600000</v>
      </c>
      <c r="F7" s="392">
        <v>6600000</v>
      </c>
      <c r="G7" s="392">
        <v>6600000</v>
      </c>
      <c r="H7" s="392">
        <v>6600000</v>
      </c>
      <c r="I7" s="392">
        <v>6600000</v>
      </c>
      <c r="J7" s="392">
        <v>6600000</v>
      </c>
      <c r="K7" s="392">
        <v>6600000</v>
      </c>
      <c r="L7" s="392">
        <v>6600000</v>
      </c>
      <c r="M7" s="392">
        <f>70000+6600000</f>
        <v>6670000</v>
      </c>
      <c r="N7" s="393">
        <f t="shared" si="0"/>
        <v>79270000</v>
      </c>
      <c r="O7" s="120">
        <f>+'5 b.sz.mell.'!I61</f>
        <v>79270000</v>
      </c>
      <c r="P7" s="121">
        <f>+O7-N7</f>
        <v>0</v>
      </c>
      <c r="Q7" s="108">
        <f>+O7/12</f>
        <v>6605833.333333333</v>
      </c>
      <c r="R7" s="107"/>
      <c r="S7" s="107"/>
    </row>
    <row r="8" spans="1:19" ht="24.95" customHeight="1">
      <c r="A8" s="119" t="s">
        <v>106</v>
      </c>
      <c r="B8" s="392">
        <v>4620000</v>
      </c>
      <c r="C8" s="392">
        <v>4620000</v>
      </c>
      <c r="D8" s="392">
        <v>4620000</v>
      </c>
      <c r="E8" s="392">
        <v>4620000</v>
      </c>
      <c r="F8" s="392">
        <v>4620000</v>
      </c>
      <c r="G8" s="392">
        <v>4620000</v>
      </c>
      <c r="H8" s="392">
        <v>4620000</v>
      </c>
      <c r="I8" s="392">
        <v>4620000</v>
      </c>
      <c r="J8" s="392">
        <v>4620000</v>
      </c>
      <c r="K8" s="392">
        <v>4620000</v>
      </c>
      <c r="L8" s="392">
        <v>4620000</v>
      </c>
      <c r="M8" s="392">
        <f>10000+4620000</f>
        <v>4630000</v>
      </c>
      <c r="N8" s="393">
        <f t="shared" si="0"/>
        <v>55450000</v>
      </c>
      <c r="O8" s="120">
        <f>+'5 b.sz.mell.'!D61</f>
        <v>55450000</v>
      </c>
      <c r="P8" s="121">
        <f t="shared" ref="P8:P12" si="1">+O8-N8</f>
        <v>0</v>
      </c>
      <c r="Q8" s="108">
        <f t="shared" ref="Q8:Q9" si="2">+O8/12</f>
        <v>4620833.333333333</v>
      </c>
      <c r="R8" s="107"/>
      <c r="S8" s="107"/>
    </row>
    <row r="9" spans="1:19" ht="24.95" customHeight="1">
      <c r="A9" s="119" t="s">
        <v>107</v>
      </c>
      <c r="B9" s="392"/>
      <c r="C9" s="392">
        <v>3275011</v>
      </c>
      <c r="D9" s="392">
        <v>1821018</v>
      </c>
      <c r="E9" s="392"/>
      <c r="F9" s="392"/>
      <c r="G9" s="392"/>
      <c r="H9" s="392"/>
      <c r="I9" s="392"/>
      <c r="J9" s="392"/>
      <c r="K9" s="392"/>
      <c r="L9" s="392"/>
      <c r="M9" s="392"/>
      <c r="N9" s="393">
        <f t="shared" si="0"/>
        <v>5096029</v>
      </c>
      <c r="O9" s="120">
        <f>+'5 b.sz.mell.'!F61</f>
        <v>5096029</v>
      </c>
      <c r="P9" s="121">
        <f t="shared" si="1"/>
        <v>0</v>
      </c>
      <c r="Q9" s="108">
        <f t="shared" si="2"/>
        <v>424669.08333333331</v>
      </c>
      <c r="R9" s="107"/>
      <c r="S9" s="107"/>
    </row>
    <row r="10" spans="1:19" ht="24.95" customHeight="1">
      <c r="A10" s="119" t="s">
        <v>347</v>
      </c>
      <c r="B10" s="392"/>
      <c r="C10" s="392"/>
      <c r="D10" s="392"/>
      <c r="E10" s="392"/>
      <c r="F10" s="392"/>
      <c r="G10" s="392"/>
      <c r="H10" s="392"/>
      <c r="I10" s="392"/>
      <c r="J10" s="392"/>
      <c r="K10" s="392"/>
      <c r="L10" s="392"/>
      <c r="M10" s="392"/>
      <c r="N10" s="393">
        <f t="shared" si="0"/>
        <v>0</v>
      </c>
      <c r="O10" s="120"/>
      <c r="P10" s="121">
        <f t="shared" si="1"/>
        <v>0</v>
      </c>
      <c r="Q10" s="108"/>
      <c r="R10" s="107"/>
      <c r="S10" s="107"/>
    </row>
    <row r="11" spans="1:19" ht="24.95" customHeight="1">
      <c r="A11" s="119" t="s">
        <v>312</v>
      </c>
      <c r="B11" s="392">
        <v>18700000</v>
      </c>
      <c r="C11" s="392">
        <f>18700000+656072</f>
        <v>19356072</v>
      </c>
      <c r="D11" s="392">
        <v>18700000</v>
      </c>
      <c r="E11" s="392">
        <v>18700000</v>
      </c>
      <c r="F11" s="392">
        <v>18700000</v>
      </c>
      <c r="G11" s="392">
        <v>18700000</v>
      </c>
      <c r="H11" s="392">
        <v>18700000</v>
      </c>
      <c r="I11" s="392">
        <v>18700000</v>
      </c>
      <c r="J11" s="392">
        <v>18700000</v>
      </c>
      <c r="K11" s="392">
        <v>18700000</v>
      </c>
      <c r="L11" s="392">
        <v>18700000</v>
      </c>
      <c r="M11" s="392">
        <v>18700000</v>
      </c>
      <c r="N11" s="393">
        <f t="shared" si="0"/>
        <v>225056072</v>
      </c>
      <c r="O11" s="120">
        <f>+'5 b.sz.mell.'!G61</f>
        <v>225056072</v>
      </c>
      <c r="P11" s="121">
        <f t="shared" si="1"/>
        <v>0</v>
      </c>
      <c r="Q11" s="108">
        <f>+O11/12</f>
        <v>18754672.666666668</v>
      </c>
      <c r="R11" s="107"/>
      <c r="S11" s="107"/>
    </row>
    <row r="12" spans="1:19" ht="24.95" customHeight="1">
      <c r="A12" s="122" t="s">
        <v>108</v>
      </c>
      <c r="B12" s="394">
        <f t="shared" ref="B12:M12" si="3">SUM(B6:B11)</f>
        <v>60300654</v>
      </c>
      <c r="C12" s="394">
        <f t="shared" si="3"/>
        <v>64231737</v>
      </c>
      <c r="D12" s="394">
        <f t="shared" si="3"/>
        <v>62121672</v>
      </c>
      <c r="E12" s="394">
        <f t="shared" si="3"/>
        <v>60300654</v>
      </c>
      <c r="F12" s="394">
        <f t="shared" si="3"/>
        <v>60300654</v>
      </c>
      <c r="G12" s="394">
        <f t="shared" si="3"/>
        <v>60300654</v>
      </c>
      <c r="H12" s="394">
        <f t="shared" si="3"/>
        <v>60300654</v>
      </c>
      <c r="I12" s="394">
        <f t="shared" si="3"/>
        <v>60300654</v>
      </c>
      <c r="J12" s="394">
        <f t="shared" si="3"/>
        <v>60300654</v>
      </c>
      <c r="K12" s="394">
        <f t="shared" si="3"/>
        <v>60300654</v>
      </c>
      <c r="L12" s="394">
        <f t="shared" si="3"/>
        <v>60300654</v>
      </c>
      <c r="M12" s="394">
        <f t="shared" si="3"/>
        <v>60380656</v>
      </c>
      <c r="N12" s="393">
        <f t="shared" si="0"/>
        <v>729439951</v>
      </c>
      <c r="O12" s="120">
        <f>+'5 b.sz.mell.'!J61-'5 b.sz.mell.'!I68</f>
        <v>948667515</v>
      </c>
      <c r="P12" s="121">
        <f t="shared" si="1"/>
        <v>219227564</v>
      </c>
      <c r="Q12" s="108"/>
      <c r="R12" s="107"/>
      <c r="S12" s="107"/>
    </row>
    <row r="13" spans="1:19" ht="24.95" customHeight="1">
      <c r="A13" s="123"/>
      <c r="B13" s="318"/>
      <c r="C13" s="318"/>
      <c r="D13" s="318"/>
      <c r="E13" s="318"/>
      <c r="F13" s="318"/>
      <c r="G13" s="318"/>
      <c r="H13" s="318"/>
      <c r="I13" s="318"/>
      <c r="J13" s="318"/>
      <c r="K13" s="318"/>
      <c r="L13" s="318"/>
      <c r="M13" s="318"/>
      <c r="N13" s="393"/>
      <c r="O13" s="120"/>
      <c r="Q13" s="108"/>
      <c r="R13" s="107"/>
      <c r="S13" s="107"/>
    </row>
    <row r="14" spans="1:19" s="124" customFormat="1" ht="24.95" customHeight="1">
      <c r="A14" s="119" t="s">
        <v>17</v>
      </c>
      <c r="B14" s="392">
        <v>18583000</v>
      </c>
      <c r="C14" s="392">
        <v>18583000</v>
      </c>
      <c r="D14" s="392">
        <v>18583000</v>
      </c>
      <c r="E14" s="392">
        <v>18583000</v>
      </c>
      <c r="F14" s="392">
        <v>18583000</v>
      </c>
      <c r="G14" s="392">
        <v>18583000</v>
      </c>
      <c r="H14" s="392">
        <v>18583000</v>
      </c>
      <c r="I14" s="392">
        <v>18583000</v>
      </c>
      <c r="J14" s="392">
        <v>18583000</v>
      </c>
      <c r="K14" s="392">
        <v>18583000</v>
      </c>
      <c r="L14" s="392">
        <v>18583000</v>
      </c>
      <c r="M14" s="392">
        <f>3810+18583000</f>
        <v>18586810</v>
      </c>
      <c r="N14" s="393">
        <f t="shared" ref="N14:N24" si="4">+M14+L14+K14+J14+I14+H14+G14+F14+E14+D14+C14+B14</f>
        <v>222999810</v>
      </c>
      <c r="O14" s="120">
        <f>+'5.a sz.mell.'!D63</f>
        <v>222999810</v>
      </c>
      <c r="P14" s="473">
        <f>+O14-N14</f>
        <v>0</v>
      </c>
      <c r="Q14" s="125">
        <f>+O14/12</f>
        <v>18583317.5</v>
      </c>
    </row>
    <row r="15" spans="1:19" s="124" customFormat="1" ht="24.95" customHeight="1">
      <c r="A15" s="119" t="s">
        <v>109</v>
      </c>
      <c r="B15" s="392">
        <v>3147000</v>
      </c>
      <c r="C15" s="392">
        <v>3147000</v>
      </c>
      <c r="D15" s="392">
        <v>3147000</v>
      </c>
      <c r="E15" s="392">
        <v>3147000</v>
      </c>
      <c r="F15" s="392">
        <v>3147000</v>
      </c>
      <c r="G15" s="392">
        <v>3147000</v>
      </c>
      <c r="H15" s="392">
        <v>3147000</v>
      </c>
      <c r="I15" s="392">
        <v>3147000</v>
      </c>
      <c r="J15" s="392">
        <v>3147000</v>
      </c>
      <c r="K15" s="392">
        <v>3147000</v>
      </c>
      <c r="L15" s="392">
        <v>3147000</v>
      </c>
      <c r="M15" s="392">
        <f>10837+3147000</f>
        <v>3157837</v>
      </c>
      <c r="N15" s="393">
        <f t="shared" si="4"/>
        <v>37774837</v>
      </c>
      <c r="O15" s="120">
        <f>+'5.a sz.mell.'!E63</f>
        <v>37774837</v>
      </c>
      <c r="P15" s="473">
        <f t="shared" ref="P15:P19" si="5">+O15-N15</f>
        <v>0</v>
      </c>
      <c r="Q15" s="125">
        <f>+O15/12</f>
        <v>3147903.0833333335</v>
      </c>
    </row>
    <row r="16" spans="1:19" s="124" customFormat="1" ht="24.95" customHeight="1">
      <c r="A16" s="119" t="s">
        <v>110</v>
      </c>
      <c r="B16" s="392">
        <v>16702000</v>
      </c>
      <c r="C16" s="392">
        <v>16702000</v>
      </c>
      <c r="D16" s="392">
        <v>16702000</v>
      </c>
      <c r="E16" s="392">
        <v>16702000</v>
      </c>
      <c r="F16" s="392">
        <v>16702000</v>
      </c>
      <c r="G16" s="392">
        <v>16702000</v>
      </c>
      <c r="H16" s="392">
        <v>16702000</v>
      </c>
      <c r="I16" s="392">
        <v>16702000</v>
      </c>
      <c r="J16" s="392">
        <v>16702000</v>
      </c>
      <c r="K16" s="392">
        <v>16702000</v>
      </c>
      <c r="L16" s="392">
        <v>16702000</v>
      </c>
      <c r="M16" s="392">
        <f>2841+16702000</f>
        <v>16704841</v>
      </c>
      <c r="N16" s="393">
        <f t="shared" si="4"/>
        <v>200426841</v>
      </c>
      <c r="O16" s="120">
        <f>+'5.a sz.mell.'!F63</f>
        <v>200426841</v>
      </c>
      <c r="P16" s="473">
        <f t="shared" si="5"/>
        <v>0</v>
      </c>
      <c r="Q16" s="125">
        <f>+O16/12</f>
        <v>16702236.75</v>
      </c>
    </row>
    <row r="17" spans="1:19" s="124" customFormat="1" ht="24.95" customHeight="1">
      <c r="A17" s="119" t="s">
        <v>115</v>
      </c>
      <c r="B17" s="392">
        <v>262250</v>
      </c>
      <c r="C17" s="392">
        <v>262250</v>
      </c>
      <c r="D17" s="392">
        <v>262250</v>
      </c>
      <c r="E17" s="392">
        <v>262250</v>
      </c>
      <c r="F17" s="392">
        <v>262250</v>
      </c>
      <c r="G17" s="392">
        <v>262250</v>
      </c>
      <c r="H17" s="392">
        <v>262250</v>
      </c>
      <c r="I17" s="392">
        <v>262250</v>
      </c>
      <c r="J17" s="392">
        <v>262250</v>
      </c>
      <c r="K17" s="392">
        <v>262250</v>
      </c>
      <c r="L17" s="392">
        <v>262250</v>
      </c>
      <c r="M17" s="392">
        <v>262250</v>
      </c>
      <c r="N17" s="393">
        <f t="shared" si="4"/>
        <v>3147000</v>
      </c>
      <c r="O17" s="120">
        <f>+'5.a sz.mell.'!H63</f>
        <v>3147000</v>
      </c>
      <c r="P17" s="473">
        <f>+O17-N17</f>
        <v>0</v>
      </c>
      <c r="Q17" s="125">
        <f>+O17/12</f>
        <v>262250</v>
      </c>
    </row>
    <row r="18" spans="1:19" s="124" customFormat="1" ht="24.95" customHeight="1">
      <c r="A18" s="119" t="s">
        <v>111</v>
      </c>
      <c r="B18" s="392">
        <v>7968000</v>
      </c>
      <c r="C18" s="392">
        <f>11898+7968000</f>
        <v>7979898</v>
      </c>
      <c r="D18" s="392">
        <v>7968000</v>
      </c>
      <c r="E18" s="392">
        <v>7968000</v>
      </c>
      <c r="F18" s="392">
        <v>7968000</v>
      </c>
      <c r="G18" s="392">
        <v>7968000</v>
      </c>
      <c r="H18" s="392">
        <v>7968000</v>
      </c>
      <c r="I18" s="392">
        <v>7968000</v>
      </c>
      <c r="J18" s="392">
        <v>7968000</v>
      </c>
      <c r="K18" s="392">
        <v>7968000</v>
      </c>
      <c r="L18" s="392">
        <v>7968000</v>
      </c>
      <c r="M18" s="392">
        <v>7968000</v>
      </c>
      <c r="N18" s="393">
        <f t="shared" si="4"/>
        <v>95627898</v>
      </c>
      <c r="O18" s="120">
        <f>+'5.a sz.mell.'!G63</f>
        <v>95627898</v>
      </c>
      <c r="P18" s="473">
        <f>+O18-N18</f>
        <v>0</v>
      </c>
      <c r="Q18" s="125">
        <f>+O18/12</f>
        <v>7968991.5</v>
      </c>
    </row>
    <row r="19" spans="1:19" s="124" customFormat="1" ht="24.95" customHeight="1">
      <c r="A19" s="119" t="s">
        <v>348</v>
      </c>
      <c r="B19" s="392">
        <v>10751039</v>
      </c>
      <c r="C19" s="395"/>
      <c r="D19" s="395"/>
      <c r="E19" s="395"/>
      <c r="F19" s="395"/>
      <c r="G19" s="395"/>
      <c r="H19" s="395"/>
      <c r="I19" s="395"/>
      <c r="J19" s="395"/>
      <c r="K19" s="395"/>
      <c r="L19" s="395"/>
      <c r="M19" s="395"/>
      <c r="N19" s="393">
        <f t="shared" si="4"/>
        <v>10751039</v>
      </c>
      <c r="O19" s="120">
        <f>+'5.a sz.mell.'!J63</f>
        <v>10751039</v>
      </c>
      <c r="P19" s="473">
        <f t="shared" si="5"/>
        <v>0</v>
      </c>
      <c r="Q19" s="125"/>
    </row>
    <row r="20" spans="1:19" s="124" customFormat="1" ht="24.95" customHeight="1">
      <c r="A20" s="119" t="s">
        <v>477</v>
      </c>
      <c r="B20" s="392"/>
      <c r="C20" s="395"/>
      <c r="D20" s="395"/>
      <c r="E20" s="395"/>
      <c r="F20" s="395"/>
      <c r="G20" s="395"/>
      <c r="H20" s="395"/>
      <c r="I20" s="395"/>
      <c r="J20" s="395"/>
      <c r="K20" s="395"/>
      <c r="L20" s="395"/>
      <c r="M20" s="395"/>
      <c r="N20" s="393">
        <f t="shared" si="4"/>
        <v>0</v>
      </c>
      <c r="O20" s="120">
        <f>+'5.a sz.mell.'!K32</f>
        <v>0</v>
      </c>
      <c r="P20" s="473">
        <f>+O20-N20</f>
        <v>0</v>
      </c>
      <c r="Q20" s="125">
        <f>+P20/11</f>
        <v>0</v>
      </c>
    </row>
    <row r="21" spans="1:19" ht="24.95" customHeight="1">
      <c r="A21" s="119" t="s">
        <v>112</v>
      </c>
      <c r="B21" s="395"/>
      <c r="C21" s="395">
        <v>20000000</v>
      </c>
      <c r="D21" s="392"/>
      <c r="E21" s="392">
        <v>15000000</v>
      </c>
      <c r="F21" s="392">
        <v>40000000</v>
      </c>
      <c r="G21" s="392"/>
      <c r="H21" s="392"/>
      <c r="I21" s="392">
        <v>12000000</v>
      </c>
      <c r="J21" s="392"/>
      <c r="K21" s="392">
        <v>11896424</v>
      </c>
      <c r="L21" s="392"/>
      <c r="M21" s="392"/>
      <c r="N21" s="393">
        <f t="shared" si="4"/>
        <v>98896424</v>
      </c>
      <c r="O21" s="120">
        <f>+'5.a sz.mell.'!I63</f>
        <v>98896424</v>
      </c>
      <c r="P21" s="473">
        <f>+N21-O21</f>
        <v>0</v>
      </c>
      <c r="Q21" s="108"/>
      <c r="R21" s="107"/>
      <c r="S21" s="107"/>
    </row>
    <row r="22" spans="1:19" ht="24.95" customHeight="1">
      <c r="A22" s="119" t="s">
        <v>60</v>
      </c>
      <c r="B22" s="395"/>
      <c r="C22" s="395">
        <v>14000000</v>
      </c>
      <c r="D22" s="395"/>
      <c r="E22" s="395">
        <v>10000000</v>
      </c>
      <c r="F22" s="395">
        <v>22000000</v>
      </c>
      <c r="G22" s="395"/>
      <c r="H22" s="395"/>
      <c r="I22" s="395">
        <v>11000000</v>
      </c>
      <c r="J22" s="395"/>
      <c r="K22" s="395">
        <v>2816102</v>
      </c>
      <c r="L22" s="395"/>
      <c r="M22" s="395"/>
      <c r="N22" s="393">
        <f t="shared" si="4"/>
        <v>59816102</v>
      </c>
      <c r="O22" s="120">
        <f>+'5.a sz.mell.'!L63+'5.a sz.mell.'!M63</f>
        <v>59816102</v>
      </c>
      <c r="P22" s="473">
        <f t="shared" ref="P22:P23" si="6">+N22-O22</f>
        <v>0</v>
      </c>
      <c r="Q22" s="108"/>
      <c r="R22" s="107"/>
      <c r="S22" s="107"/>
    </row>
    <row r="23" spans="1:19" ht="24.95" customHeight="1">
      <c r="A23" s="122" t="s">
        <v>113</v>
      </c>
      <c r="B23" s="394">
        <f t="shared" ref="B23:M23" si="7">SUM(B14:B22)</f>
        <v>57413289</v>
      </c>
      <c r="C23" s="394">
        <f t="shared" si="7"/>
        <v>80674148</v>
      </c>
      <c r="D23" s="394">
        <f t="shared" si="7"/>
        <v>46662250</v>
      </c>
      <c r="E23" s="394">
        <f t="shared" si="7"/>
        <v>71662250</v>
      </c>
      <c r="F23" s="394">
        <f t="shared" si="7"/>
        <v>108662250</v>
      </c>
      <c r="G23" s="394">
        <f t="shared" si="7"/>
        <v>46662250</v>
      </c>
      <c r="H23" s="394">
        <f t="shared" si="7"/>
        <v>46662250</v>
      </c>
      <c r="I23" s="394">
        <f t="shared" si="7"/>
        <v>69662250</v>
      </c>
      <c r="J23" s="394">
        <f t="shared" si="7"/>
        <v>46662250</v>
      </c>
      <c r="K23" s="394">
        <f t="shared" si="7"/>
        <v>61374776</v>
      </c>
      <c r="L23" s="394">
        <f t="shared" si="7"/>
        <v>46662250</v>
      </c>
      <c r="M23" s="394">
        <f t="shared" si="7"/>
        <v>46679738</v>
      </c>
      <c r="N23" s="393">
        <f t="shared" si="4"/>
        <v>729439951</v>
      </c>
      <c r="O23" s="120">
        <f>+'5.a sz.mell.'!N63</f>
        <v>729439951</v>
      </c>
      <c r="P23" s="473">
        <f t="shared" si="6"/>
        <v>0</v>
      </c>
      <c r="Q23" s="108"/>
      <c r="R23" s="107"/>
      <c r="S23" s="107"/>
    </row>
    <row r="24" spans="1:19" ht="24.95" customHeight="1">
      <c r="A24" s="122" t="s">
        <v>114</v>
      </c>
      <c r="B24" s="394">
        <f t="shared" ref="B24:M24" si="8">B12-B23</f>
        <v>2887365</v>
      </c>
      <c r="C24" s="394">
        <f t="shared" si="8"/>
        <v>-16442411</v>
      </c>
      <c r="D24" s="394">
        <f t="shared" si="8"/>
        <v>15459422</v>
      </c>
      <c r="E24" s="394">
        <f t="shared" si="8"/>
        <v>-11361596</v>
      </c>
      <c r="F24" s="394">
        <f t="shared" si="8"/>
        <v>-48361596</v>
      </c>
      <c r="G24" s="394">
        <f t="shared" si="8"/>
        <v>13638404</v>
      </c>
      <c r="H24" s="394">
        <f t="shared" si="8"/>
        <v>13638404</v>
      </c>
      <c r="I24" s="394">
        <f t="shared" si="8"/>
        <v>-9361596</v>
      </c>
      <c r="J24" s="394">
        <f t="shared" si="8"/>
        <v>13638404</v>
      </c>
      <c r="K24" s="394">
        <f t="shared" si="8"/>
        <v>-1074122</v>
      </c>
      <c r="L24" s="394">
        <f t="shared" si="8"/>
        <v>13638404</v>
      </c>
      <c r="M24" s="394">
        <f t="shared" si="8"/>
        <v>13700918</v>
      </c>
      <c r="N24" s="393">
        <f t="shared" si="4"/>
        <v>0</v>
      </c>
      <c r="O24" s="120"/>
      <c r="Q24" s="108"/>
      <c r="R24" s="107"/>
      <c r="S24" s="107"/>
    </row>
  </sheetData>
  <mergeCells count="2">
    <mergeCell ref="A1:M1"/>
    <mergeCell ref="A2:M2"/>
  </mergeCells>
  <phoneticPr fontId="0" type="noConversion"/>
  <pageMargins left="0.74803149606299213" right="0.74803149606299213" top="0.98425196850393704" bottom="0.98425196850393704" header="0.51181102362204722" footer="0.51181102362204722"/>
  <pageSetup paperSize="8" scale="43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>
  <sheetPr>
    <tabColor theme="9" tint="-0.249977111117893"/>
  </sheetPr>
  <dimension ref="A1:H31"/>
  <sheetViews>
    <sheetView view="pageBreakPreview" zoomScale="60" zoomScaleNormal="100" workbookViewId="0">
      <selection activeCell="J42" sqref="J42"/>
    </sheetView>
  </sheetViews>
  <sheetFormatPr defaultColWidth="8.85546875" defaultRowHeight="15"/>
  <cols>
    <col min="1" max="1" width="8.85546875" style="37"/>
    <col min="2" max="2" width="8.85546875" style="39" customWidth="1"/>
    <col min="3" max="3" width="45.5703125" style="104" customWidth="1"/>
    <col min="4" max="4" width="16.28515625" style="131" customWidth="1"/>
    <col min="5" max="5" width="21.5703125" style="39" customWidth="1"/>
    <col min="6" max="6" width="16.85546875" style="39" customWidth="1"/>
    <col min="7" max="7" width="16.140625" style="39" customWidth="1"/>
    <col min="8" max="8" width="8.85546875" style="39"/>
    <col min="9" max="16384" width="8.85546875" style="37"/>
  </cols>
  <sheetData>
    <row r="1" spans="1:8" ht="15.75">
      <c r="A1" s="726" t="s">
        <v>614</v>
      </c>
      <c r="B1" s="726"/>
      <c r="C1" s="726"/>
      <c r="D1" s="726"/>
      <c r="E1" s="726"/>
      <c r="F1" s="451"/>
    </row>
    <row r="2" spans="1:8" ht="15.75">
      <c r="C2" s="130"/>
    </row>
    <row r="3" spans="1:8" ht="42" customHeight="1">
      <c r="A3" s="705" t="s">
        <v>584</v>
      </c>
      <c r="B3" s="705"/>
      <c r="C3" s="705"/>
      <c r="D3" s="705"/>
      <c r="E3" s="705"/>
      <c r="F3" s="309"/>
    </row>
    <row r="4" spans="1:8" ht="24.75" customHeight="1"/>
    <row r="5" spans="1:8" ht="25.5" customHeight="1">
      <c r="B5" s="732" t="s">
        <v>117</v>
      </c>
      <c r="C5" s="732"/>
      <c r="D5" s="732"/>
      <c r="E5" s="732"/>
      <c r="F5" s="732"/>
    </row>
    <row r="6" spans="1:8" ht="17.25" customHeight="1">
      <c r="C6" s="132"/>
      <c r="D6" s="285" t="s">
        <v>320</v>
      </c>
    </row>
    <row r="7" spans="1:8" ht="17.25" customHeight="1">
      <c r="C7" s="82" t="s">
        <v>118</v>
      </c>
      <c r="D7" s="83" t="s">
        <v>374</v>
      </c>
      <c r="H7" s="37"/>
    </row>
    <row r="8" spans="1:8" ht="17.25" customHeight="1">
      <c r="C8" s="81" t="s">
        <v>119</v>
      </c>
      <c r="D8" s="366">
        <v>116455</v>
      </c>
      <c r="H8" s="37"/>
    </row>
    <row r="9" spans="1:8" ht="17.25" customHeight="1">
      <c r="C9" s="81" t="s">
        <v>589</v>
      </c>
      <c r="D9" s="366">
        <v>1080098</v>
      </c>
      <c r="H9" s="37"/>
    </row>
    <row r="10" spans="1:8" ht="17.25" customHeight="1">
      <c r="C10" s="81" t="s">
        <v>533</v>
      </c>
      <c r="D10" s="366">
        <v>20000</v>
      </c>
      <c r="H10" s="37"/>
    </row>
    <row r="11" spans="1:8" ht="17.25" customHeight="1">
      <c r="C11" s="81" t="s">
        <v>120</v>
      </c>
      <c r="D11" s="366">
        <v>140000</v>
      </c>
      <c r="H11" s="37"/>
    </row>
    <row r="12" spans="1:8" ht="17.25" customHeight="1">
      <c r="C12" s="81" t="s">
        <v>313</v>
      </c>
      <c r="D12" s="366">
        <v>3000000</v>
      </c>
      <c r="H12" s="37"/>
    </row>
    <row r="13" spans="1:8" ht="17.25" customHeight="1">
      <c r="C13" s="81" t="s">
        <v>534</v>
      </c>
      <c r="D13" s="366">
        <v>3000000</v>
      </c>
      <c r="H13" s="37"/>
    </row>
    <row r="14" spans="1:8" ht="17.25" customHeight="1">
      <c r="C14" s="81" t="s">
        <v>535</v>
      </c>
      <c r="D14" s="366">
        <v>20000</v>
      </c>
      <c r="H14" s="37"/>
    </row>
    <row r="15" spans="1:8" ht="17.25" customHeight="1">
      <c r="C15" s="81" t="s">
        <v>588</v>
      </c>
      <c r="D15" s="366">
        <v>100000</v>
      </c>
      <c r="H15" s="37"/>
    </row>
    <row r="16" spans="1:8" ht="17.25" customHeight="1">
      <c r="C16" s="81" t="s">
        <v>314</v>
      </c>
      <c r="D16" s="366">
        <v>86657095</v>
      </c>
      <c r="H16" s="37"/>
    </row>
    <row r="17" spans="3:8" ht="17.25" customHeight="1">
      <c r="C17" s="81" t="s">
        <v>585</v>
      </c>
      <c r="D17" s="366">
        <v>10000</v>
      </c>
      <c r="H17" s="37"/>
    </row>
    <row r="18" spans="3:8" ht="17.25" customHeight="1">
      <c r="C18" s="81" t="s">
        <v>586</v>
      </c>
      <c r="D18" s="366">
        <v>20000</v>
      </c>
      <c r="H18" s="37"/>
    </row>
    <row r="19" spans="3:8" ht="17.25" customHeight="1">
      <c r="C19" s="81" t="s">
        <v>587</v>
      </c>
      <c r="D19" s="366">
        <v>1000000</v>
      </c>
      <c r="H19" s="37"/>
    </row>
    <row r="20" spans="3:8" ht="17.25" customHeight="1">
      <c r="C20" s="81" t="s">
        <v>340</v>
      </c>
      <c r="D20" s="366">
        <v>180000</v>
      </c>
      <c r="H20" s="37"/>
    </row>
    <row r="21" spans="3:8" ht="17.25" customHeight="1">
      <c r="C21" s="81" t="s">
        <v>341</v>
      </c>
      <c r="D21" s="366">
        <v>64250</v>
      </c>
      <c r="H21" s="37"/>
    </row>
    <row r="22" spans="3:8" ht="17.25" customHeight="1">
      <c r="C22" s="81" t="s">
        <v>342</v>
      </c>
      <c r="D22" s="366">
        <v>20000</v>
      </c>
      <c r="H22" s="37"/>
    </row>
    <row r="23" spans="3:8" ht="17.25" customHeight="1">
      <c r="C23" s="273" t="s">
        <v>343</v>
      </c>
      <c r="D23" s="366">
        <v>200000</v>
      </c>
      <c r="H23" s="37"/>
    </row>
    <row r="24" spans="3:8" ht="17.25" customHeight="1">
      <c r="C24" s="133" t="s">
        <v>58</v>
      </c>
      <c r="D24" s="274">
        <f>SUM(D8:D23)</f>
        <v>95627898</v>
      </c>
      <c r="F24" s="44">
        <f>+'2.sz.mell.'!C79+'2.sz.mell.'!C80</f>
        <v>95627898</v>
      </c>
      <c r="H24" s="37"/>
    </row>
    <row r="25" spans="3:8" ht="30" customHeight="1">
      <c r="C25" s="134"/>
      <c r="D25" s="275"/>
      <c r="G25" s="44">
        <f>+D24-F24</f>
        <v>0</v>
      </c>
    </row>
    <row r="26" spans="3:8" ht="25.5" customHeight="1">
      <c r="C26" s="135" t="s">
        <v>121</v>
      </c>
      <c r="D26" s="276">
        <v>0</v>
      </c>
      <c r="H26" s="37"/>
    </row>
    <row r="27" spans="3:8" ht="24.75" customHeight="1">
      <c r="C27" s="133" t="s">
        <v>58</v>
      </c>
      <c r="D27" s="274">
        <v>0</v>
      </c>
      <c r="H27" s="37"/>
    </row>
    <row r="28" spans="3:8" ht="18" customHeight="1">
      <c r="C28" s="136"/>
      <c r="D28" s="39"/>
      <c r="H28" s="37"/>
    </row>
    <row r="29" spans="3:8" ht="18" customHeight="1">
      <c r="C29" s="137" t="s">
        <v>122</v>
      </c>
      <c r="D29" s="274">
        <f>SUM(D24,D27)</f>
        <v>95627898</v>
      </c>
      <c r="H29" s="37"/>
    </row>
    <row r="30" spans="3:8" ht="18" customHeight="1"/>
    <row r="31" spans="3:8">
      <c r="E31" s="44"/>
    </row>
  </sheetData>
  <mergeCells count="3">
    <mergeCell ref="B5:F5"/>
    <mergeCell ref="A3:E3"/>
    <mergeCell ref="A1:E1"/>
  </mergeCells>
  <phoneticPr fontId="0" type="noConversion"/>
  <pageMargins left="0.75" right="0.75" top="1" bottom="1" header="0.5" footer="0.5"/>
  <pageSetup paperSize="9" scale="85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>
  <sheetPr>
    <tabColor theme="9" tint="-0.249977111117893"/>
  </sheetPr>
  <dimension ref="A1:G39"/>
  <sheetViews>
    <sheetView view="pageBreakPreview" zoomScaleNormal="100" zoomScaleSheetLayoutView="100" workbookViewId="0">
      <selection sqref="A1:D1"/>
    </sheetView>
  </sheetViews>
  <sheetFormatPr defaultRowHeight="15.75"/>
  <cols>
    <col min="1" max="1" width="11.140625" style="87" customWidth="1"/>
    <col min="2" max="2" width="64.140625" style="143" customWidth="1"/>
    <col min="3" max="3" width="14.42578125" style="138" customWidth="1"/>
    <col min="4" max="4" width="11.140625" style="72" customWidth="1"/>
    <col min="5" max="7" width="9.140625" style="73"/>
    <col min="8" max="16384" width="9.140625" style="87"/>
  </cols>
  <sheetData>
    <row r="1" spans="1:7">
      <c r="A1" s="726" t="s">
        <v>615</v>
      </c>
      <c r="B1" s="726"/>
      <c r="C1" s="726"/>
      <c r="D1" s="726"/>
      <c r="F1" s="129"/>
    </row>
    <row r="2" spans="1:7">
      <c r="B2" s="70"/>
    </row>
    <row r="3" spans="1:7" s="140" customFormat="1" ht="33" customHeight="1">
      <c r="A3" s="705" t="s">
        <v>63</v>
      </c>
      <c r="B3" s="705"/>
      <c r="C3" s="705"/>
      <c r="D3" s="705"/>
      <c r="E3" s="139"/>
    </row>
    <row r="4" spans="1:7" s="140" customFormat="1" ht="42" customHeight="1">
      <c r="A4" s="705" t="s">
        <v>590</v>
      </c>
      <c r="B4" s="705"/>
      <c r="C4" s="705"/>
      <c r="D4" s="705"/>
      <c r="E4" s="139"/>
    </row>
    <row r="5" spans="1:7">
      <c r="B5" s="141"/>
      <c r="C5" s="142"/>
    </row>
    <row r="6" spans="1:7">
      <c r="C6" s="138" t="s">
        <v>320</v>
      </c>
    </row>
    <row r="7" spans="1:7" s="144" customFormat="1" ht="36" customHeight="1">
      <c r="B7" s="145" t="s">
        <v>123</v>
      </c>
      <c r="C7" s="146"/>
      <c r="D7" s="147"/>
      <c r="E7" s="147"/>
      <c r="F7" s="67"/>
      <c r="G7" s="67"/>
    </row>
    <row r="8" spans="1:7" s="86" customFormat="1" ht="19.5" customHeight="1">
      <c r="B8" s="148" t="s">
        <v>124</v>
      </c>
      <c r="C8" s="452">
        <f>+'2.sz.mell.'!C46</f>
        <v>17150000</v>
      </c>
      <c r="D8" s="89"/>
      <c r="E8" s="103"/>
      <c r="F8" s="103"/>
      <c r="G8" s="103"/>
    </row>
    <row r="9" spans="1:7" s="144" customFormat="1" ht="15" customHeight="1">
      <c r="B9" s="50" t="s">
        <v>125</v>
      </c>
      <c r="C9" s="439">
        <f>+C8</f>
        <v>17150000</v>
      </c>
      <c r="D9" s="149"/>
      <c r="E9" s="67"/>
      <c r="F9" s="67"/>
      <c r="G9" s="67"/>
    </row>
    <row r="10" spans="1:7" s="144" customFormat="1" ht="15" customHeight="1">
      <c r="B10" s="150"/>
      <c r="C10" s="319"/>
      <c r="D10" s="149"/>
      <c r="E10" s="67">
        <f>106778+29232+46282+32074+38570+60900+15428+56028+38164+53998+38976+40194+38057+15200+34691</f>
        <v>644572</v>
      </c>
      <c r="F10" s="67"/>
      <c r="G10" s="67"/>
    </row>
    <row r="11" spans="1:7" s="144" customFormat="1" ht="15" customHeight="1">
      <c r="B11" s="150" t="s">
        <v>126</v>
      </c>
      <c r="C11" s="628">
        <f>+E10*9</f>
        <v>5801148</v>
      </c>
      <c r="D11" s="443"/>
      <c r="E11" s="67"/>
      <c r="F11" s="67"/>
      <c r="G11" s="67"/>
    </row>
    <row r="12" spans="1:7" s="144" customFormat="1" ht="15" customHeight="1">
      <c r="B12" s="50" t="s">
        <v>127</v>
      </c>
      <c r="C12" s="439">
        <f>SUM(C11)</f>
        <v>5801148</v>
      </c>
      <c r="D12" s="149"/>
      <c r="E12" s="67"/>
      <c r="F12" s="67"/>
      <c r="G12" s="67"/>
    </row>
    <row r="13" spans="1:7" s="144" customFormat="1" ht="15" customHeight="1">
      <c r="B13" s="151"/>
      <c r="C13" s="321"/>
      <c r="D13" s="149"/>
      <c r="E13" s="67"/>
      <c r="F13" s="67"/>
      <c r="G13" s="67"/>
    </row>
    <row r="14" spans="1:7" s="144" customFormat="1" ht="32.25" customHeight="1">
      <c r="B14" s="145" t="s">
        <v>128</v>
      </c>
      <c r="C14" s="146">
        <v>0</v>
      </c>
      <c r="D14" s="67"/>
      <c r="E14" s="67"/>
      <c r="F14" s="67"/>
      <c r="G14" s="67"/>
    </row>
    <row r="15" spans="1:7" s="144" customFormat="1" ht="19.5" customHeight="1">
      <c r="B15" s="150" t="s">
        <v>536</v>
      </c>
      <c r="C15" s="322"/>
      <c r="D15" s="67"/>
      <c r="E15" s="67"/>
      <c r="F15" s="67"/>
      <c r="G15" s="67"/>
    </row>
    <row r="16" spans="1:7" s="144" customFormat="1" ht="15" customHeight="1">
      <c r="B16" s="150"/>
      <c r="C16" s="319"/>
      <c r="D16" s="149"/>
      <c r="E16" s="67"/>
      <c r="F16" s="67"/>
      <c r="G16" s="67"/>
    </row>
    <row r="17" spans="2:7" s="153" customFormat="1" ht="34.5" customHeight="1">
      <c r="B17" s="145" t="s">
        <v>129</v>
      </c>
      <c r="C17" s="323"/>
      <c r="D17" s="152"/>
      <c r="E17" s="152"/>
      <c r="F17" s="147"/>
      <c r="G17" s="147"/>
    </row>
    <row r="18" spans="2:7" s="144" customFormat="1" ht="15" customHeight="1">
      <c r="B18" s="151" t="s">
        <v>246</v>
      </c>
      <c r="C18" s="438">
        <f>+'2.sz.mell.'!C37</f>
        <v>7500000</v>
      </c>
      <c r="D18" s="149"/>
      <c r="E18" s="67"/>
      <c r="F18" s="67"/>
      <c r="G18" s="67"/>
    </row>
    <row r="19" spans="2:7" s="156" customFormat="1" ht="15" customHeight="1">
      <c r="B19" s="150" t="s">
        <v>130</v>
      </c>
      <c r="C19" s="438">
        <v>0</v>
      </c>
      <c r="D19" s="154"/>
      <c r="E19" s="155"/>
      <c r="F19" s="155"/>
      <c r="G19" s="155"/>
    </row>
    <row r="20" spans="2:7" s="153" customFormat="1" ht="15" customHeight="1">
      <c r="B20" s="50" t="s">
        <v>125</v>
      </c>
      <c r="C20" s="439">
        <f>+C18</f>
        <v>7500000</v>
      </c>
      <c r="D20" s="141"/>
      <c r="E20" s="147"/>
      <c r="F20" s="147"/>
      <c r="G20" s="147"/>
    </row>
    <row r="21" spans="2:7" s="144" customFormat="1" ht="15" customHeight="1">
      <c r="B21" s="150"/>
      <c r="C21" s="320"/>
      <c r="D21" s="149"/>
      <c r="E21" s="67"/>
      <c r="F21" s="67"/>
      <c r="G21" s="67"/>
    </row>
    <row r="22" spans="2:7" s="144" customFormat="1" ht="15" customHeight="1">
      <c r="B22" s="50" t="s">
        <v>131</v>
      </c>
      <c r="C22" s="324"/>
      <c r="D22" s="149"/>
      <c r="E22" s="67"/>
      <c r="F22" s="67"/>
      <c r="G22" s="67"/>
    </row>
    <row r="23" spans="2:7" s="144" customFormat="1" ht="15" customHeight="1">
      <c r="B23" s="150" t="s">
        <v>132</v>
      </c>
      <c r="C23" s="438">
        <v>0</v>
      </c>
      <c r="D23" s="149"/>
      <c r="E23" s="67"/>
      <c r="F23" s="67"/>
      <c r="G23" s="67"/>
    </row>
    <row r="24" spans="2:7" s="144" customFormat="1" ht="15" customHeight="1">
      <c r="B24" s="150" t="s">
        <v>133</v>
      </c>
      <c r="C24" s="438">
        <v>0</v>
      </c>
      <c r="D24" s="149"/>
      <c r="E24" s="67"/>
      <c r="F24" s="67"/>
      <c r="G24" s="67"/>
    </row>
    <row r="25" spans="2:7" s="157" customFormat="1" ht="15" customHeight="1">
      <c r="B25" s="50" t="s">
        <v>125</v>
      </c>
      <c r="C25" s="439">
        <f>+'2.sz.mell.'!C41</f>
        <v>6000000</v>
      </c>
      <c r="D25" s="141"/>
      <c r="E25" s="152"/>
      <c r="F25" s="152"/>
      <c r="G25" s="152"/>
    </row>
    <row r="26" spans="2:7" s="144" customFormat="1" ht="15" customHeight="1">
      <c r="B26" s="50" t="s">
        <v>127</v>
      </c>
      <c r="C26" s="439">
        <v>0</v>
      </c>
      <c r="D26" s="149"/>
      <c r="E26" s="67"/>
      <c r="F26" s="67"/>
      <c r="G26" s="67"/>
    </row>
    <row r="27" spans="2:7" s="144" customFormat="1" ht="15" customHeight="1">
      <c r="B27" s="150"/>
      <c r="C27" s="320"/>
      <c r="D27" s="149"/>
      <c r="E27" s="67"/>
      <c r="F27" s="67"/>
      <c r="G27" s="67"/>
    </row>
    <row r="28" spans="2:7" s="144" customFormat="1" ht="36.75" customHeight="1">
      <c r="B28" s="145" t="s">
        <v>134</v>
      </c>
      <c r="C28" s="440"/>
      <c r="D28" s="67"/>
      <c r="E28" s="67"/>
      <c r="F28" s="67"/>
      <c r="G28" s="67"/>
    </row>
    <row r="29" spans="2:7" s="144" customFormat="1" ht="15" customHeight="1">
      <c r="B29" s="150" t="s">
        <v>135</v>
      </c>
      <c r="C29" s="441">
        <v>0</v>
      </c>
      <c r="D29" s="149"/>
      <c r="E29" s="67"/>
      <c r="F29" s="67"/>
      <c r="G29" s="67"/>
    </row>
    <row r="30" spans="2:7" s="144" customFormat="1" ht="15" customHeight="1">
      <c r="B30" s="150" t="s">
        <v>136</v>
      </c>
      <c r="C30" s="441">
        <v>0</v>
      </c>
      <c r="D30" s="149"/>
      <c r="E30" s="67"/>
      <c r="F30" s="67"/>
      <c r="G30" s="67"/>
    </row>
    <row r="31" spans="2:7" s="144" customFormat="1" ht="15" customHeight="1">
      <c r="B31" s="50" t="s">
        <v>127</v>
      </c>
      <c r="C31" s="146">
        <v>0</v>
      </c>
      <c r="D31" s="149"/>
      <c r="E31" s="67"/>
      <c r="F31" s="67"/>
      <c r="G31" s="67"/>
    </row>
    <row r="32" spans="2:7" s="144" customFormat="1" ht="15" customHeight="1">
      <c r="B32" s="150"/>
      <c r="C32" s="438"/>
      <c r="D32" s="149"/>
      <c r="E32" s="67"/>
      <c r="F32" s="67"/>
      <c r="G32" s="67"/>
    </row>
    <row r="33" spans="2:7" s="144" customFormat="1" ht="21" customHeight="1">
      <c r="B33" s="50" t="s">
        <v>137</v>
      </c>
      <c r="C33" s="442"/>
      <c r="D33" s="152"/>
      <c r="E33" s="152"/>
      <c r="F33" s="67"/>
      <c r="G33" s="67"/>
    </row>
    <row r="34" spans="2:7" s="144" customFormat="1" ht="15" customHeight="1">
      <c r="B34" s="150" t="s">
        <v>138</v>
      </c>
      <c r="C34" s="441">
        <v>0</v>
      </c>
      <c r="D34" s="149"/>
      <c r="E34" s="67"/>
      <c r="F34" s="67"/>
      <c r="G34" s="67"/>
    </row>
    <row r="35" spans="2:7" s="144" customFormat="1" ht="15" customHeight="1">
      <c r="B35" s="150" t="s">
        <v>130</v>
      </c>
      <c r="C35" s="441">
        <v>0</v>
      </c>
      <c r="D35" s="149"/>
      <c r="E35" s="67"/>
      <c r="F35" s="67"/>
      <c r="G35" s="67"/>
    </row>
    <row r="36" spans="2:7" s="157" customFormat="1" ht="15" customHeight="1">
      <c r="B36" s="50" t="s">
        <v>125</v>
      </c>
      <c r="C36" s="440">
        <v>0</v>
      </c>
      <c r="D36" s="141"/>
      <c r="E36" s="152"/>
      <c r="F36" s="152"/>
      <c r="G36" s="152"/>
    </row>
    <row r="37" spans="2:7" ht="15" customHeight="1">
      <c r="B37" s="145" t="s">
        <v>127</v>
      </c>
      <c r="C37" s="440">
        <v>0</v>
      </c>
    </row>
    <row r="38" spans="2:7" ht="15" customHeight="1">
      <c r="B38" s="158"/>
      <c r="C38" s="320"/>
    </row>
    <row r="39" spans="2:7" s="92" customFormat="1" ht="15" customHeight="1">
      <c r="B39" s="145" t="s">
        <v>139</v>
      </c>
      <c r="C39" s="453">
        <f>SUM(C12,C26,C31,C37)</f>
        <v>5801148</v>
      </c>
      <c r="D39" s="159"/>
      <c r="E39" s="85"/>
      <c r="F39" s="85"/>
      <c r="G39" s="85"/>
    </row>
  </sheetData>
  <mergeCells count="3">
    <mergeCell ref="A1:D1"/>
    <mergeCell ref="A3:D3"/>
    <mergeCell ref="A4:D4"/>
  </mergeCells>
  <phoneticPr fontId="0" type="noConversion"/>
  <pageMargins left="0.75" right="0.75" top="1" bottom="1" header="0.5" footer="0.5"/>
  <pageSetup paperSize="9" scale="85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>
  <sheetPr>
    <tabColor theme="9" tint="-0.249977111117893"/>
  </sheetPr>
  <dimension ref="A1:H33"/>
  <sheetViews>
    <sheetView view="pageBreakPreview" zoomScale="60" zoomScaleNormal="100" workbookViewId="0">
      <selection sqref="A1:G1"/>
    </sheetView>
  </sheetViews>
  <sheetFormatPr defaultColWidth="8.85546875" defaultRowHeight="12.75"/>
  <cols>
    <col min="1" max="3" width="8.85546875" style="37"/>
    <col min="4" max="4" width="66.5703125" style="37" bestFit="1" customWidth="1"/>
    <col min="5" max="5" width="13" style="160" customWidth="1"/>
    <col min="6" max="6" width="16.85546875" style="37" customWidth="1"/>
    <col min="7" max="16384" width="8.85546875" style="37"/>
  </cols>
  <sheetData>
    <row r="1" spans="1:8" ht="15.75">
      <c r="A1" s="726" t="s">
        <v>616</v>
      </c>
      <c r="B1" s="726"/>
      <c r="C1" s="726"/>
      <c r="D1" s="726"/>
      <c r="E1" s="726"/>
      <c r="F1" s="726"/>
      <c r="G1" s="726"/>
      <c r="H1" s="451"/>
    </row>
    <row r="3" spans="1:8" ht="48.75" customHeight="1">
      <c r="A3" s="734" t="s">
        <v>591</v>
      </c>
      <c r="B3" s="734"/>
      <c r="C3" s="734"/>
      <c r="D3" s="734"/>
      <c r="E3" s="734"/>
      <c r="F3" s="734"/>
      <c r="G3" s="734"/>
      <c r="H3" s="426"/>
    </row>
    <row r="4" spans="1:8" ht="18.75">
      <c r="D4" s="733" t="s">
        <v>38</v>
      </c>
      <c r="F4" s="413"/>
    </row>
    <row r="5" spans="1:8" ht="18.75">
      <c r="D5" s="733"/>
      <c r="F5" s="414" t="s">
        <v>320</v>
      </c>
    </row>
    <row r="6" spans="1:8" ht="18.75">
      <c r="D6" s="415" t="s">
        <v>140</v>
      </c>
      <c r="F6" s="416"/>
    </row>
    <row r="7" spans="1:8" ht="18.75">
      <c r="D7" s="417" t="s">
        <v>51</v>
      </c>
      <c r="F7" s="418">
        <v>0</v>
      </c>
    </row>
    <row r="8" spans="1:8" ht="18.75">
      <c r="D8" s="415" t="s">
        <v>141</v>
      </c>
      <c r="F8" s="419">
        <v>0</v>
      </c>
    </row>
    <row r="9" spans="1:8" ht="18.75">
      <c r="D9" s="415"/>
      <c r="F9" s="419"/>
    </row>
    <row r="10" spans="1:8" ht="18.75">
      <c r="D10" s="420" t="s">
        <v>39</v>
      </c>
      <c r="F10" s="421"/>
    </row>
    <row r="11" spans="1:8" ht="18.75">
      <c r="D11" s="415" t="s">
        <v>142</v>
      </c>
      <c r="F11" s="416"/>
    </row>
    <row r="12" spans="1:8" ht="18.75">
      <c r="D12" s="417" t="s">
        <v>236</v>
      </c>
      <c r="F12" s="416">
        <f>+'5.a sz.mell.'!H34</f>
        <v>567000</v>
      </c>
    </row>
    <row r="13" spans="1:8" ht="18.75">
      <c r="D13" s="417" t="s">
        <v>237</v>
      </c>
      <c r="F13" s="416">
        <f>+'5.a sz.mell.'!H35</f>
        <v>180000</v>
      </c>
    </row>
    <row r="14" spans="1:8" ht="18.75">
      <c r="D14" s="417" t="s">
        <v>50</v>
      </c>
      <c r="F14" s="416">
        <v>700000</v>
      </c>
    </row>
    <row r="15" spans="1:8" ht="18.75">
      <c r="D15" s="417" t="s">
        <v>344</v>
      </c>
      <c r="F15" s="416">
        <v>1700000</v>
      </c>
    </row>
    <row r="16" spans="1:8" ht="18.75">
      <c r="D16" s="415" t="s">
        <v>143</v>
      </c>
      <c r="F16" s="419">
        <f>SUM(F12:F15)</f>
        <v>3147000</v>
      </c>
    </row>
    <row r="17" spans="4:6" ht="18.75">
      <c r="D17" s="415"/>
      <c r="F17" s="419"/>
    </row>
    <row r="18" spans="4:6" ht="18.75">
      <c r="D18" s="415" t="s">
        <v>144</v>
      </c>
      <c r="F18" s="419">
        <f>SUM(F8,F16)</f>
        <v>3147000</v>
      </c>
    </row>
    <row r="19" spans="4:6" ht="18">
      <c r="D19" s="408"/>
      <c r="F19" s="422"/>
    </row>
    <row r="20" spans="4:6" ht="18.75">
      <c r="D20" s="423" t="s">
        <v>145</v>
      </c>
      <c r="F20" s="422"/>
    </row>
    <row r="21" spans="4:6" ht="18.75">
      <c r="D21" s="423" t="s">
        <v>146</v>
      </c>
      <c r="F21" s="424">
        <v>0</v>
      </c>
    </row>
    <row r="22" spans="4:6" ht="18.75">
      <c r="D22" s="425" t="s">
        <v>147</v>
      </c>
      <c r="F22" s="424">
        <f>+F12+F13</f>
        <v>747000</v>
      </c>
    </row>
    <row r="23" spans="4:6" ht="18">
      <c r="D23" s="408"/>
      <c r="E23" s="422"/>
    </row>
    <row r="24" spans="4:6">
      <c r="D24" s="161"/>
    </row>
    <row r="25" spans="4:6">
      <c r="D25" s="84"/>
    </row>
    <row r="26" spans="4:6">
      <c r="D26" s="84"/>
    </row>
    <row r="27" spans="4:6">
      <c r="D27" s="84"/>
    </row>
    <row r="28" spans="4:6">
      <c r="D28" s="84"/>
    </row>
    <row r="29" spans="4:6">
      <c r="D29" s="84"/>
    </row>
    <row r="32" spans="4:6">
      <c r="D32" s="207"/>
      <c r="E32" s="208"/>
    </row>
    <row r="33" spans="4:5">
      <c r="D33" s="209"/>
      <c r="E33" s="210"/>
    </row>
  </sheetData>
  <mergeCells count="3">
    <mergeCell ref="D4:D5"/>
    <mergeCell ref="A3:G3"/>
    <mergeCell ref="A1:G1"/>
  </mergeCells>
  <phoneticPr fontId="0" type="noConversion"/>
  <pageMargins left="0.75" right="0.75" top="1" bottom="1" header="0.5" footer="0.5"/>
  <pageSetup paperSize="9" scale="6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9" tint="-0.249977111117893"/>
  </sheetPr>
  <dimension ref="A1:L520"/>
  <sheetViews>
    <sheetView view="pageBreakPreview" topLeftCell="A4" zoomScale="60" zoomScaleNormal="130" workbookViewId="0">
      <selection sqref="A1:C1"/>
    </sheetView>
  </sheetViews>
  <sheetFormatPr defaultColWidth="8.85546875" defaultRowHeight="15"/>
  <cols>
    <col min="1" max="1" width="9" style="94" customWidth="1"/>
    <col min="2" max="2" width="67" style="185" customWidth="1"/>
    <col min="3" max="3" width="24.7109375" style="192" customWidth="1"/>
    <col min="4" max="4" width="15.5703125" style="37" bestFit="1" customWidth="1"/>
    <col min="5" max="5" width="12.85546875" style="37" customWidth="1"/>
    <col min="6" max="6" width="8.85546875" style="37"/>
    <col min="7" max="7" width="16.28515625" style="37" bestFit="1" customWidth="1"/>
    <col min="8" max="11" width="8.85546875" style="37"/>
    <col min="12" max="12" width="16.28515625" style="37" bestFit="1" customWidth="1"/>
    <col min="13" max="16384" width="8.85546875" style="37"/>
  </cols>
  <sheetData>
    <row r="1" spans="1:8" ht="23.25" customHeight="1">
      <c r="A1" s="645" t="s">
        <v>599</v>
      </c>
      <c r="B1" s="645"/>
      <c r="C1" s="645"/>
      <c r="D1" s="254"/>
      <c r="E1" s="254"/>
      <c r="F1" s="254"/>
      <c r="G1" s="184"/>
    </row>
    <row r="2" spans="1:8" ht="42" customHeight="1">
      <c r="A2" s="644" t="s">
        <v>597</v>
      </c>
      <c r="B2" s="644"/>
      <c r="C2" s="644"/>
      <c r="D2" s="186"/>
      <c r="E2" s="186"/>
      <c r="F2" s="186"/>
      <c r="G2" s="218"/>
      <c r="H2" s="186"/>
    </row>
    <row r="3" spans="1:8" ht="16.5" thickBot="1">
      <c r="B3" s="537" t="s">
        <v>320</v>
      </c>
      <c r="C3" s="538" t="s">
        <v>320</v>
      </c>
      <c r="D3" s="219"/>
    </row>
    <row r="4" spans="1:8" ht="33" customHeight="1">
      <c r="B4" s="306" t="s">
        <v>177</v>
      </c>
      <c r="C4" s="188" t="s">
        <v>488</v>
      </c>
    </row>
    <row r="5" spans="1:8">
      <c r="B5" s="216" t="s">
        <v>380</v>
      </c>
      <c r="C5" s="345">
        <v>70119800</v>
      </c>
      <c r="D5" s="646">
        <v>100042520</v>
      </c>
    </row>
    <row r="6" spans="1:8">
      <c r="B6" s="221" t="s">
        <v>382</v>
      </c>
      <c r="C6" s="339">
        <v>10198440</v>
      </c>
      <c r="D6" s="646"/>
    </row>
    <row r="7" spans="1:8">
      <c r="B7" s="221" t="s">
        <v>383</v>
      </c>
      <c r="C7" s="339">
        <v>6400000</v>
      </c>
      <c r="D7" s="646"/>
    </row>
    <row r="8" spans="1:8">
      <c r="B8" s="221" t="s">
        <v>384</v>
      </c>
      <c r="C8" s="339">
        <v>100000</v>
      </c>
      <c r="D8" s="646"/>
      <c r="E8" s="37" t="s">
        <v>501</v>
      </c>
    </row>
    <row r="9" spans="1:8">
      <c r="B9" s="221" t="s">
        <v>385</v>
      </c>
      <c r="C9" s="339">
        <v>5309530</v>
      </c>
      <c r="D9" s="646"/>
    </row>
    <row r="10" spans="1:8">
      <c r="B10" s="221" t="s">
        <v>386</v>
      </c>
      <c r="C10" s="339">
        <v>7000000</v>
      </c>
      <c r="D10" s="646"/>
    </row>
    <row r="11" spans="1:8">
      <c r="B11" s="221" t="s">
        <v>387</v>
      </c>
      <c r="C11" s="339">
        <v>0</v>
      </c>
      <c r="D11" s="646"/>
    </row>
    <row r="12" spans="1:8">
      <c r="B12" s="221" t="s">
        <v>388</v>
      </c>
      <c r="C12" s="339">
        <v>840800</v>
      </c>
      <c r="D12" s="646"/>
    </row>
    <row r="13" spans="1:8">
      <c r="B13" s="221" t="s">
        <v>381</v>
      </c>
      <c r="C13" s="339">
        <v>71496700</v>
      </c>
    </row>
    <row r="14" spans="1:8" ht="15.75" customHeight="1">
      <c r="B14" s="221" t="s">
        <v>390</v>
      </c>
      <c r="C14" s="339">
        <v>19727792</v>
      </c>
      <c r="D14" s="649">
        <f>+C14+C15+C16+C17+C18+C19+C20</f>
        <v>94161792</v>
      </c>
      <c r="E14" s="37" t="s">
        <v>540</v>
      </c>
    </row>
    <row r="15" spans="1:8">
      <c r="B15" s="221" t="s">
        <v>391</v>
      </c>
      <c r="C15" s="339">
        <f>3230000+5940000+150000+5555600+3400000</f>
        <v>18275600</v>
      </c>
      <c r="D15" s="649"/>
    </row>
    <row r="16" spans="1:8">
      <c r="B16" s="221" t="s">
        <v>392</v>
      </c>
      <c r="C16" s="339">
        <v>20394000</v>
      </c>
      <c r="D16" s="649"/>
    </row>
    <row r="17" spans="2:4">
      <c r="B17" s="221" t="s">
        <v>393</v>
      </c>
      <c r="C17" s="339">
        <v>24051380</v>
      </c>
      <c r="D17" s="649"/>
    </row>
    <row r="18" spans="2:4">
      <c r="B18" s="221" t="s">
        <v>394</v>
      </c>
      <c r="C18" s="339">
        <v>932520</v>
      </c>
      <c r="D18" s="649"/>
    </row>
    <row r="19" spans="2:4">
      <c r="B19" s="221" t="s">
        <v>502</v>
      </c>
      <c r="C19" s="339">
        <v>7482500</v>
      </c>
      <c r="D19" s="649"/>
    </row>
    <row r="20" spans="2:4">
      <c r="B20" s="221" t="s">
        <v>503</v>
      </c>
      <c r="C20" s="339">
        <v>3298000</v>
      </c>
      <c r="D20" s="649"/>
    </row>
    <row r="21" spans="2:4">
      <c r="B21" s="221" t="s">
        <v>395</v>
      </c>
      <c r="C21" s="339">
        <v>3074958</v>
      </c>
      <c r="D21" s="160"/>
    </row>
    <row r="22" spans="2:4">
      <c r="B22" s="221" t="s">
        <v>389</v>
      </c>
      <c r="C22" s="339">
        <v>73950</v>
      </c>
      <c r="D22" s="552"/>
    </row>
    <row r="23" spans="2:4" ht="15.75" thickBot="1">
      <c r="B23" s="255" t="s">
        <v>435</v>
      </c>
      <c r="C23" s="427">
        <v>0</v>
      </c>
    </row>
    <row r="24" spans="2:4" ht="15.75" thickBot="1">
      <c r="B24" s="495" t="s">
        <v>437</v>
      </c>
      <c r="C24" s="496">
        <v>0</v>
      </c>
    </row>
    <row r="25" spans="2:4" ht="19.899999999999999" customHeight="1" thickBot="1">
      <c r="B25" s="307" t="s">
        <v>178</v>
      </c>
      <c r="C25" s="332">
        <f>SUM(C5:C24)</f>
        <v>268775970</v>
      </c>
      <c r="D25" s="160"/>
    </row>
    <row r="26" spans="2:4">
      <c r="B26" s="190" t="s">
        <v>445</v>
      </c>
      <c r="C26" s="333">
        <f>+'5 b.sz.mell.'!E25</f>
        <v>20354748</v>
      </c>
    </row>
    <row r="27" spans="2:4">
      <c r="B27" s="221" t="s">
        <v>446</v>
      </c>
      <c r="C27" s="331">
        <f>+'5 b.sz.mell.'!E12+'5 b.sz.mell.'!E11+'5 b.sz.mell.'!E10+'5 b.sz.mell.'!E13</f>
        <v>0</v>
      </c>
    </row>
    <row r="28" spans="2:4">
      <c r="B28" s="221" t="s">
        <v>447</v>
      </c>
      <c r="C28" s="331">
        <f>+'5 b.sz.mell.'!E28</f>
        <v>7411115</v>
      </c>
    </row>
    <row r="29" spans="2:4">
      <c r="B29" s="221" t="s">
        <v>453</v>
      </c>
      <c r="C29" s="331">
        <f>+'5 b.sz.mell.'!E39</f>
        <v>1938774</v>
      </c>
    </row>
    <row r="30" spans="2:4">
      <c r="B30" s="220" t="s">
        <v>448</v>
      </c>
      <c r="C30" s="334">
        <f>+'5 b.sz.mell.'!E29</f>
        <v>0</v>
      </c>
    </row>
    <row r="31" spans="2:4">
      <c r="B31" s="220" t="s">
        <v>454</v>
      </c>
      <c r="C31" s="334">
        <f>+'5 b.sz.mell.'!E49</f>
        <v>2800000</v>
      </c>
    </row>
    <row r="32" spans="2:4">
      <c r="B32" s="220" t="s">
        <v>455</v>
      </c>
      <c r="C32" s="334">
        <f>+'5 b.sz.mell.'!E9</f>
        <v>0</v>
      </c>
    </row>
    <row r="33" spans="2:12">
      <c r="B33" s="220" t="s">
        <v>449</v>
      </c>
      <c r="C33" s="334">
        <f>+'5 b.sz.mell.'!E21</f>
        <v>0</v>
      </c>
    </row>
    <row r="34" spans="2:12">
      <c r="B34" s="220" t="s">
        <v>541</v>
      </c>
      <c r="C34" s="334">
        <f>+'5 b.sz.mell.'!E55</f>
        <v>2024525</v>
      </c>
    </row>
    <row r="35" spans="2:12" ht="15.75" thickBot="1">
      <c r="B35" s="220" t="s">
        <v>510</v>
      </c>
      <c r="C35" s="334">
        <f>+'5 b.sz.mell.'!E6</f>
        <v>61262718</v>
      </c>
    </row>
    <row r="36" spans="2:12" ht="19.899999999999999" customHeight="1" thickBot="1">
      <c r="B36" s="307" t="s">
        <v>396</v>
      </c>
      <c r="C36" s="332">
        <f>SUM(C26:C35)</f>
        <v>95791880</v>
      </c>
      <c r="D36" s="160">
        <f>+'5 b.sz.mell.'!E61-'5 b.sz.mell.'!E36</f>
        <v>95791880</v>
      </c>
    </row>
    <row r="37" spans="2:12">
      <c r="B37" s="221" t="s">
        <v>397</v>
      </c>
      <c r="C37" s="331">
        <v>7500000</v>
      </c>
      <c r="D37" s="494"/>
    </row>
    <row r="38" spans="2:12">
      <c r="B38" s="221" t="s">
        <v>398</v>
      </c>
      <c r="C38" s="331">
        <v>60000000</v>
      </c>
      <c r="D38" s="189"/>
    </row>
    <row r="39" spans="2:12">
      <c r="B39" s="221" t="s">
        <v>400</v>
      </c>
      <c r="C39" s="331">
        <v>100000</v>
      </c>
      <c r="D39" s="189"/>
    </row>
    <row r="40" spans="2:12">
      <c r="B40" s="221" t="s">
        <v>401</v>
      </c>
      <c r="C40" s="331">
        <v>1000000</v>
      </c>
      <c r="D40" s="189"/>
    </row>
    <row r="41" spans="2:12">
      <c r="B41" s="221" t="s">
        <v>399</v>
      </c>
      <c r="C41" s="331">
        <v>6000000</v>
      </c>
      <c r="D41" s="189"/>
    </row>
    <row r="42" spans="2:12" ht="15.75" thickBot="1">
      <c r="B42" s="220" t="s">
        <v>402</v>
      </c>
      <c r="C42" s="334">
        <v>4670000</v>
      </c>
      <c r="D42" s="189"/>
    </row>
    <row r="43" spans="2:12" ht="19.899999999999999" customHeight="1" thickBot="1">
      <c r="B43" s="307" t="s">
        <v>179</v>
      </c>
      <c r="C43" s="332">
        <f>SUM(C37:C42)</f>
        <v>79270000</v>
      </c>
      <c r="D43" s="493">
        <f>+'5 b.sz.mell.'!I61</f>
        <v>79270000</v>
      </c>
    </row>
    <row r="44" spans="2:12">
      <c r="B44" s="221" t="s">
        <v>403</v>
      </c>
      <c r="C44" s="331">
        <v>0</v>
      </c>
      <c r="D44" s="493"/>
    </row>
    <row r="45" spans="2:12">
      <c r="B45" s="221" t="s">
        <v>543</v>
      </c>
      <c r="C45" s="331">
        <f>8630000+400000+40000+200000+50000</f>
        <v>9320000</v>
      </c>
      <c r="D45" s="189"/>
      <c r="L45" s="620"/>
    </row>
    <row r="46" spans="2:12">
      <c r="B46" s="221" t="s">
        <v>407</v>
      </c>
      <c r="C46" s="331">
        <v>17150000</v>
      </c>
      <c r="D46" s="189"/>
      <c r="L46" s="620"/>
    </row>
    <row r="47" spans="2:12">
      <c r="B47" s="221" t="s">
        <v>411</v>
      </c>
      <c r="C47" s="331">
        <f>150000+600000</f>
        <v>750000</v>
      </c>
      <c r="D47" s="189"/>
      <c r="L47" s="620"/>
    </row>
    <row r="48" spans="2:12">
      <c r="B48" s="190" t="s">
        <v>406</v>
      </c>
      <c r="C48" s="333">
        <v>13800000</v>
      </c>
      <c r="D48" s="189"/>
      <c r="L48" s="620"/>
    </row>
    <row r="49" spans="2:12">
      <c r="B49" s="190" t="s">
        <v>405</v>
      </c>
      <c r="C49" s="333"/>
      <c r="D49" s="189"/>
      <c r="L49" s="620"/>
    </row>
    <row r="50" spans="2:12">
      <c r="B50" s="221" t="s">
        <v>408</v>
      </c>
      <c r="C50" s="331">
        <f>4675000+4735000</f>
        <v>9410000</v>
      </c>
      <c r="D50" s="189"/>
      <c r="L50" s="620"/>
    </row>
    <row r="51" spans="2:12">
      <c r="B51" s="221" t="s">
        <v>409</v>
      </c>
      <c r="C51" s="331">
        <v>875000</v>
      </c>
      <c r="D51" s="189"/>
      <c r="L51" s="620"/>
    </row>
    <row r="52" spans="2:12">
      <c r="B52" s="221" t="s">
        <v>410</v>
      </c>
      <c r="C52" s="331">
        <v>5000</v>
      </c>
      <c r="D52" s="189"/>
      <c r="L52" s="620"/>
    </row>
    <row r="53" spans="2:12" ht="18.75" customHeight="1">
      <c r="B53" s="221" t="s">
        <v>404</v>
      </c>
      <c r="C53" s="331">
        <f>20000+3150000+70000+900000</f>
        <v>4140000</v>
      </c>
      <c r="D53" s="189"/>
      <c r="L53" s="620"/>
    </row>
    <row r="54" spans="2:12" ht="18.75" customHeight="1" thickBot="1">
      <c r="B54" s="511" t="s">
        <v>452</v>
      </c>
      <c r="C54" s="512">
        <v>0</v>
      </c>
      <c r="D54" s="189"/>
      <c r="G54" s="620"/>
    </row>
    <row r="55" spans="2:12" ht="19.899999999999999" customHeight="1" thickBot="1">
      <c r="B55" s="307" t="s">
        <v>180</v>
      </c>
      <c r="C55" s="332">
        <f>SUM(C44:C54)</f>
        <v>55450000</v>
      </c>
      <c r="D55" s="494">
        <f>+'5 b.sz.mell.'!D61</f>
        <v>55450000</v>
      </c>
      <c r="E55" s="160"/>
    </row>
    <row r="56" spans="2:12" ht="19.899999999999999" customHeight="1" thickBot="1">
      <c r="B56" s="288" t="s">
        <v>413</v>
      </c>
      <c r="C56" s="335">
        <v>0</v>
      </c>
      <c r="D56" s="191"/>
      <c r="G56" s="621"/>
    </row>
    <row r="57" spans="2:12" ht="19.899999999999999" customHeight="1" thickBot="1">
      <c r="B57" s="308" t="s">
        <v>247</v>
      </c>
      <c r="C57" s="332">
        <f>SUM(C56)</f>
        <v>0</v>
      </c>
      <c r="D57" s="494">
        <f>+C55+C57</f>
        <v>55450000</v>
      </c>
    </row>
    <row r="58" spans="2:12" ht="19.899999999999999" hidden="1" customHeight="1">
      <c r="B58" s="289" t="s">
        <v>508</v>
      </c>
      <c r="C58" s="336">
        <v>0</v>
      </c>
      <c r="D58" s="191"/>
    </row>
    <row r="59" spans="2:12" ht="19.899999999999999" customHeight="1" thickBot="1">
      <c r="B59" s="337" t="s">
        <v>450</v>
      </c>
      <c r="C59" s="338">
        <f>+'5 b.sz.mell.'!F27</f>
        <v>5096029</v>
      </c>
      <c r="D59" s="191"/>
    </row>
    <row r="60" spans="2:12" ht="19.899999999999999" hidden="1" customHeight="1">
      <c r="B60" s="290" t="s">
        <v>451</v>
      </c>
      <c r="C60" s="339">
        <v>0</v>
      </c>
      <c r="D60" s="191"/>
    </row>
    <row r="61" spans="2:12" ht="19.899999999999999" hidden="1" customHeight="1" thickBot="1">
      <c r="B61" s="290" t="s">
        <v>509</v>
      </c>
      <c r="C61" s="339">
        <v>0</v>
      </c>
      <c r="D61" s="191"/>
    </row>
    <row r="62" spans="2:12" ht="19.899999999999999" customHeight="1">
      <c r="B62" s="506" t="s">
        <v>436</v>
      </c>
      <c r="C62" s="507">
        <f>SUM(C58:C61)</f>
        <v>5096029</v>
      </c>
      <c r="D62" s="494">
        <f>+'5 b.sz.mell.'!F61</f>
        <v>5096029</v>
      </c>
      <c r="E62" s="160">
        <f>+C62-D62</f>
        <v>0</v>
      </c>
    </row>
    <row r="63" spans="2:12">
      <c r="B63" s="290" t="s">
        <v>412</v>
      </c>
      <c r="C63" s="339">
        <f>+'5 b.sz.mell.'!G60+'5 b.sz.mell.'!G50+'5 b.sz.mell.'!G46+'5 b.sz.mell.'!G43+'5 b.sz.mell.'!G38</f>
        <v>225056072</v>
      </c>
      <c r="D63" s="494">
        <f>+'5 b.sz.mell.'!G61</f>
        <v>225056072</v>
      </c>
    </row>
    <row r="64" spans="2:12" ht="19.899999999999999" customHeight="1" thickBot="1">
      <c r="B64" s="193" t="s">
        <v>181</v>
      </c>
      <c r="C64" s="508">
        <f>SUM(C63)</f>
        <v>225056072</v>
      </c>
      <c r="D64" s="189"/>
    </row>
    <row r="65" spans="1:8" ht="27" customHeight="1" thickBot="1">
      <c r="B65" s="193" t="s">
        <v>182</v>
      </c>
      <c r="C65" s="559">
        <f>SUM(C25,C36,C43,C55,C57,C62,C64)</f>
        <v>729439951</v>
      </c>
      <c r="D65" s="494">
        <f>+'5 b.sz.mell.'!J61-'5 b.sz.mell.'!H61</f>
        <v>729439951</v>
      </c>
    </row>
    <row r="66" spans="1:8">
      <c r="B66" s="194"/>
      <c r="C66" s="465">
        <f>+D65-C65</f>
        <v>0</v>
      </c>
      <c r="D66" s="189"/>
    </row>
    <row r="67" spans="1:8">
      <c r="B67" s="195"/>
      <c r="C67" s="444" t="s">
        <v>369</v>
      </c>
      <c r="D67" s="196"/>
    </row>
    <row r="68" spans="1:8" ht="36.6" customHeight="1">
      <c r="B68" s="535" t="s">
        <v>596</v>
      </c>
      <c r="D68" s="218"/>
      <c r="E68" s="218"/>
      <c r="F68" s="218"/>
      <c r="G68" s="218"/>
      <c r="H68" s="186"/>
    </row>
    <row r="69" spans="1:8" ht="12.75" customHeight="1">
      <c r="A69" s="187"/>
      <c r="B69" s="84"/>
      <c r="D69" s="84"/>
    </row>
    <row r="70" spans="1:8" ht="21.75" customHeight="1" thickBot="1">
      <c r="B70" s="536" t="s">
        <v>320</v>
      </c>
      <c r="D70" s="219"/>
    </row>
    <row r="71" spans="1:8" ht="32.25" customHeight="1">
      <c r="B71" s="306" t="s">
        <v>183</v>
      </c>
      <c r="C71" s="188" t="s">
        <v>488</v>
      </c>
      <c r="D71" s="197"/>
    </row>
    <row r="72" spans="1:8">
      <c r="B72" s="216" t="s">
        <v>414</v>
      </c>
      <c r="C72" s="340">
        <f>+'5.a sz.mell.'!D63</f>
        <v>222999810</v>
      </c>
      <c r="D72" s="189"/>
    </row>
    <row r="73" spans="1:8">
      <c r="B73" s="216" t="s">
        <v>184</v>
      </c>
      <c r="C73" s="340">
        <f>+'5.a sz.mell.'!E63</f>
        <v>37774837</v>
      </c>
      <c r="D73" s="198"/>
    </row>
    <row r="74" spans="1:8" ht="25.5">
      <c r="B74" s="466" t="s">
        <v>456</v>
      </c>
      <c r="C74" s="340">
        <f>+'5.a sz.mell.'!F63</f>
        <v>200426841</v>
      </c>
      <c r="D74" s="199"/>
    </row>
    <row r="75" spans="1:8">
      <c r="B75" s="216" t="s">
        <v>415</v>
      </c>
      <c r="C75" s="340">
        <f>+'5.a sz.mell.'!H63</f>
        <v>3147000</v>
      </c>
      <c r="D75" s="189"/>
      <c r="E75" s="160"/>
    </row>
    <row r="76" spans="1:8">
      <c r="B76" s="216" t="s">
        <v>459</v>
      </c>
      <c r="C76" s="340">
        <v>0</v>
      </c>
      <c r="D76" s="189"/>
      <c r="E76" s="160"/>
    </row>
    <row r="77" spans="1:8">
      <c r="B77" s="216" t="s">
        <v>419</v>
      </c>
      <c r="C77" s="340">
        <f>+'5.a sz.mell.'!J63</f>
        <v>10751039</v>
      </c>
      <c r="D77" s="189"/>
    </row>
    <row r="78" spans="1:8">
      <c r="B78" s="216" t="s">
        <v>444</v>
      </c>
      <c r="C78" s="340">
        <f>+'5.a sz.mell.'!K63</f>
        <v>0</v>
      </c>
      <c r="D78" s="189"/>
    </row>
    <row r="79" spans="1:8">
      <c r="B79" s="216" t="s">
        <v>457</v>
      </c>
      <c r="C79" s="340">
        <f>+D79-C80</f>
        <v>6570803</v>
      </c>
      <c r="D79" s="647">
        <f>+'5.a sz.mell.'!G63</f>
        <v>95627898</v>
      </c>
    </row>
    <row r="80" spans="1:8" ht="15.75" thickBot="1">
      <c r="B80" s="217" t="s">
        <v>458</v>
      </c>
      <c r="C80" s="341">
        <f>+'5.a sz.mell.'!G24+2400000</f>
        <v>89057095</v>
      </c>
      <c r="D80" s="648"/>
    </row>
    <row r="81" spans="2:4" ht="19.899999999999999" customHeight="1" thickBot="1">
      <c r="B81" s="305" t="s">
        <v>186</v>
      </c>
      <c r="C81" s="342">
        <f>SUM(C72:C80)</f>
        <v>570727425</v>
      </c>
      <c r="D81" s="191"/>
    </row>
    <row r="82" spans="2:4">
      <c r="B82" s="216" t="s">
        <v>416</v>
      </c>
      <c r="C82" s="343">
        <v>0</v>
      </c>
      <c r="D82" s="191"/>
    </row>
    <row r="83" spans="2:4" ht="15.75" thickBot="1">
      <c r="B83" s="217" t="s">
        <v>417</v>
      </c>
      <c r="C83" s="341">
        <f>+'5.a sz.mell.'!I63-C82</f>
        <v>98896424</v>
      </c>
      <c r="D83" s="191"/>
    </row>
    <row r="84" spans="2:4" ht="19.899999999999999" customHeight="1" thickBot="1">
      <c r="B84" s="305" t="s">
        <v>187</v>
      </c>
      <c r="C84" s="342">
        <f>SUM(C82:C83)</f>
        <v>98896424</v>
      </c>
      <c r="D84" s="191"/>
    </row>
    <row r="85" spans="2:4">
      <c r="B85" s="216" t="s">
        <v>438</v>
      </c>
      <c r="C85" s="343">
        <f>+'5.a sz.mell.'!L63</f>
        <v>13396044</v>
      </c>
      <c r="D85" s="189"/>
    </row>
    <row r="86" spans="2:4">
      <c r="B86" s="217" t="s">
        <v>418</v>
      </c>
      <c r="C86" s="341">
        <f>+'5.a sz.mell.'!M63</f>
        <v>46420058</v>
      </c>
      <c r="D86" s="189"/>
    </row>
    <row r="87" spans="2:4" ht="15.75" thickBot="1">
      <c r="B87" s="217" t="s">
        <v>244</v>
      </c>
      <c r="C87" s="341">
        <v>0</v>
      </c>
      <c r="D87" s="189"/>
    </row>
    <row r="88" spans="2:4" ht="19.899999999999999" customHeight="1" thickBot="1">
      <c r="B88" s="305" t="s">
        <v>188</v>
      </c>
      <c r="C88" s="342">
        <f>SUM(C85:C87)</f>
        <v>59816102</v>
      </c>
      <c r="D88" s="189"/>
    </row>
    <row r="89" spans="2:4" ht="24.6" customHeight="1" thickBot="1">
      <c r="B89" s="193" t="s">
        <v>189</v>
      </c>
      <c r="C89" s="344">
        <f>C81+C84+C88</f>
        <v>729439951</v>
      </c>
      <c r="D89" s="510">
        <f>+'5.a sz.mell.'!N63</f>
        <v>729439951</v>
      </c>
    </row>
    <row r="90" spans="2:4">
      <c r="B90" s="87"/>
      <c r="D90" s="189"/>
    </row>
    <row r="91" spans="2:4">
      <c r="B91" s="87"/>
      <c r="C91" s="465">
        <f>+C89-C65</f>
        <v>0</v>
      </c>
      <c r="D91" s="189"/>
    </row>
    <row r="92" spans="2:4">
      <c r="B92" s="87"/>
      <c r="D92" s="189"/>
    </row>
    <row r="93" spans="2:4">
      <c r="B93" s="192"/>
      <c r="C93" s="445" t="s">
        <v>370</v>
      </c>
    </row>
    <row r="94" spans="2:4">
      <c r="B94" s="192"/>
    </row>
    <row r="95" spans="2:4">
      <c r="B95" s="192"/>
    </row>
    <row r="96" spans="2:4">
      <c r="B96" s="192"/>
    </row>
    <row r="97" spans="2:2" ht="41.25" customHeight="1">
      <c r="B97" s="192"/>
    </row>
    <row r="98" spans="2:2">
      <c r="B98" s="192"/>
    </row>
    <row r="99" spans="2:2">
      <c r="B99" s="192"/>
    </row>
    <row r="100" spans="2:2">
      <c r="B100" s="192"/>
    </row>
    <row r="101" spans="2:2">
      <c r="B101" s="192"/>
    </row>
    <row r="102" spans="2:2">
      <c r="B102" s="192"/>
    </row>
    <row r="103" spans="2:2">
      <c r="B103" s="192"/>
    </row>
    <row r="104" spans="2:2">
      <c r="B104" s="192"/>
    </row>
    <row r="105" spans="2:2">
      <c r="B105" s="192"/>
    </row>
    <row r="106" spans="2:2">
      <c r="B106" s="192"/>
    </row>
    <row r="107" spans="2:2">
      <c r="B107" s="192"/>
    </row>
    <row r="108" spans="2:2">
      <c r="B108" s="192"/>
    </row>
    <row r="109" spans="2:2">
      <c r="B109" s="192"/>
    </row>
    <row r="110" spans="2:2">
      <c r="B110" s="192"/>
    </row>
    <row r="111" spans="2:2">
      <c r="B111" s="192"/>
    </row>
    <row r="112" spans="2:2">
      <c r="B112" s="192"/>
    </row>
    <row r="113" spans="2:2">
      <c r="B113" s="192"/>
    </row>
    <row r="114" spans="2:2">
      <c r="B114" s="192"/>
    </row>
    <row r="115" spans="2:2">
      <c r="B115" s="192"/>
    </row>
    <row r="116" spans="2:2">
      <c r="B116" s="192"/>
    </row>
    <row r="117" spans="2:2">
      <c r="B117" s="192"/>
    </row>
    <row r="118" spans="2:2">
      <c r="B118" s="192"/>
    </row>
    <row r="119" spans="2:2">
      <c r="B119" s="192"/>
    </row>
    <row r="120" spans="2:2">
      <c r="B120" s="192"/>
    </row>
    <row r="121" spans="2:2">
      <c r="B121" s="192"/>
    </row>
    <row r="122" spans="2:2">
      <c r="B122" s="192"/>
    </row>
    <row r="123" spans="2:2">
      <c r="B123" s="192"/>
    </row>
    <row r="124" spans="2:2">
      <c r="B124" s="192"/>
    </row>
    <row r="125" spans="2:2">
      <c r="B125" s="192"/>
    </row>
    <row r="126" spans="2:2">
      <c r="B126" s="192"/>
    </row>
    <row r="127" spans="2:2">
      <c r="B127" s="192"/>
    </row>
    <row r="128" spans="2:2">
      <c r="B128" s="192"/>
    </row>
    <row r="129" spans="2:2">
      <c r="B129" s="192"/>
    </row>
    <row r="130" spans="2:2">
      <c r="B130" s="192"/>
    </row>
    <row r="131" spans="2:2">
      <c r="B131" s="192"/>
    </row>
    <row r="132" spans="2:2">
      <c r="B132" s="192"/>
    </row>
    <row r="133" spans="2:2">
      <c r="B133" s="192"/>
    </row>
    <row r="134" spans="2:2">
      <c r="B134" s="192"/>
    </row>
    <row r="135" spans="2:2">
      <c r="B135" s="192"/>
    </row>
    <row r="136" spans="2:2">
      <c r="B136" s="192"/>
    </row>
    <row r="137" spans="2:2">
      <c r="B137" s="192"/>
    </row>
    <row r="138" spans="2:2">
      <c r="B138" s="192"/>
    </row>
    <row r="139" spans="2:2">
      <c r="B139" s="192"/>
    </row>
    <row r="140" spans="2:2">
      <c r="B140" s="192"/>
    </row>
    <row r="141" spans="2:2">
      <c r="B141" s="192"/>
    </row>
    <row r="142" spans="2:2">
      <c r="B142" s="192"/>
    </row>
    <row r="143" spans="2:2">
      <c r="B143" s="192"/>
    </row>
    <row r="144" spans="2:2">
      <c r="B144" s="192"/>
    </row>
    <row r="145" spans="2:2">
      <c r="B145" s="192"/>
    </row>
    <row r="146" spans="2:2">
      <c r="B146" s="192"/>
    </row>
    <row r="147" spans="2:2">
      <c r="B147" s="192"/>
    </row>
    <row r="148" spans="2:2">
      <c r="B148" s="192"/>
    </row>
    <row r="149" spans="2:2">
      <c r="B149" s="192"/>
    </row>
    <row r="150" spans="2:2">
      <c r="B150" s="192"/>
    </row>
    <row r="151" spans="2:2">
      <c r="B151" s="192"/>
    </row>
    <row r="152" spans="2:2">
      <c r="B152" s="192"/>
    </row>
    <row r="153" spans="2:2">
      <c r="B153" s="192"/>
    </row>
    <row r="154" spans="2:2">
      <c r="B154" s="192"/>
    </row>
    <row r="155" spans="2:2">
      <c r="B155" s="192"/>
    </row>
    <row r="156" spans="2:2">
      <c r="B156" s="192"/>
    </row>
    <row r="157" spans="2:2">
      <c r="B157" s="192"/>
    </row>
    <row r="158" spans="2:2">
      <c r="B158" s="192"/>
    </row>
    <row r="159" spans="2:2">
      <c r="B159" s="192"/>
    </row>
    <row r="160" spans="2:2">
      <c r="B160" s="192"/>
    </row>
    <row r="161" spans="2:2">
      <c r="B161" s="192"/>
    </row>
    <row r="162" spans="2:2">
      <c r="B162" s="192"/>
    </row>
    <row r="163" spans="2:2">
      <c r="B163" s="192"/>
    </row>
    <row r="164" spans="2:2">
      <c r="B164" s="192"/>
    </row>
    <row r="165" spans="2:2">
      <c r="B165" s="192"/>
    </row>
    <row r="166" spans="2:2">
      <c r="B166" s="192"/>
    </row>
    <row r="167" spans="2:2">
      <c r="B167" s="192"/>
    </row>
    <row r="168" spans="2:2">
      <c r="B168" s="192"/>
    </row>
    <row r="169" spans="2:2">
      <c r="B169" s="192"/>
    </row>
    <row r="170" spans="2:2">
      <c r="B170" s="192"/>
    </row>
    <row r="171" spans="2:2">
      <c r="B171" s="192"/>
    </row>
    <row r="172" spans="2:2">
      <c r="B172" s="192"/>
    </row>
    <row r="173" spans="2:2">
      <c r="B173" s="192"/>
    </row>
    <row r="174" spans="2:2">
      <c r="B174" s="192"/>
    </row>
    <row r="175" spans="2:2">
      <c r="B175" s="192"/>
    </row>
    <row r="176" spans="2:2">
      <c r="B176" s="192"/>
    </row>
    <row r="177" spans="2:2">
      <c r="B177" s="192"/>
    </row>
    <row r="178" spans="2:2">
      <c r="B178" s="192"/>
    </row>
    <row r="179" spans="2:2">
      <c r="B179" s="192"/>
    </row>
    <row r="180" spans="2:2">
      <c r="B180" s="192"/>
    </row>
    <row r="181" spans="2:2">
      <c r="B181" s="192"/>
    </row>
    <row r="182" spans="2:2">
      <c r="B182" s="192"/>
    </row>
    <row r="183" spans="2:2">
      <c r="B183" s="192"/>
    </row>
    <row r="184" spans="2:2">
      <c r="B184" s="192"/>
    </row>
    <row r="185" spans="2:2">
      <c r="B185" s="192"/>
    </row>
    <row r="186" spans="2:2">
      <c r="B186" s="192"/>
    </row>
    <row r="187" spans="2:2">
      <c r="B187" s="192"/>
    </row>
    <row r="188" spans="2:2">
      <c r="B188" s="192"/>
    </row>
    <row r="189" spans="2:2">
      <c r="B189" s="192"/>
    </row>
    <row r="190" spans="2:2">
      <c r="B190" s="192"/>
    </row>
    <row r="191" spans="2:2">
      <c r="B191" s="192"/>
    </row>
    <row r="192" spans="2:2">
      <c r="B192" s="192"/>
    </row>
    <row r="193" spans="2:2">
      <c r="B193" s="192"/>
    </row>
    <row r="194" spans="2:2">
      <c r="B194" s="192"/>
    </row>
    <row r="195" spans="2:2">
      <c r="B195" s="192"/>
    </row>
    <row r="196" spans="2:2">
      <c r="B196" s="192"/>
    </row>
    <row r="197" spans="2:2">
      <c r="B197" s="192"/>
    </row>
    <row r="198" spans="2:2">
      <c r="B198" s="192"/>
    </row>
    <row r="199" spans="2:2">
      <c r="B199" s="192"/>
    </row>
    <row r="200" spans="2:2">
      <c r="B200" s="192"/>
    </row>
    <row r="201" spans="2:2">
      <c r="B201" s="192"/>
    </row>
    <row r="202" spans="2:2">
      <c r="B202" s="192"/>
    </row>
    <row r="203" spans="2:2">
      <c r="B203" s="192"/>
    </row>
    <row r="204" spans="2:2">
      <c r="B204" s="192"/>
    </row>
    <row r="205" spans="2:2">
      <c r="B205" s="192"/>
    </row>
    <row r="206" spans="2:2">
      <c r="B206" s="192"/>
    </row>
    <row r="207" spans="2:2">
      <c r="B207" s="192"/>
    </row>
    <row r="208" spans="2:2">
      <c r="B208" s="192"/>
    </row>
    <row r="209" spans="2:2">
      <c r="B209" s="192"/>
    </row>
    <row r="210" spans="2:2">
      <c r="B210" s="192"/>
    </row>
    <row r="211" spans="2:2">
      <c r="B211" s="192"/>
    </row>
    <row r="212" spans="2:2">
      <c r="B212" s="192"/>
    </row>
    <row r="213" spans="2:2">
      <c r="B213" s="192"/>
    </row>
    <row r="214" spans="2:2">
      <c r="B214" s="192"/>
    </row>
    <row r="215" spans="2:2">
      <c r="B215" s="192"/>
    </row>
    <row r="216" spans="2:2">
      <c r="B216" s="192"/>
    </row>
    <row r="217" spans="2:2">
      <c r="B217" s="192"/>
    </row>
    <row r="218" spans="2:2">
      <c r="B218" s="192"/>
    </row>
    <row r="219" spans="2:2">
      <c r="B219" s="192"/>
    </row>
    <row r="220" spans="2:2">
      <c r="B220" s="192"/>
    </row>
    <row r="221" spans="2:2">
      <c r="B221" s="192"/>
    </row>
    <row r="222" spans="2:2">
      <c r="B222" s="192"/>
    </row>
    <row r="223" spans="2:2">
      <c r="B223" s="192"/>
    </row>
    <row r="224" spans="2:2">
      <c r="B224" s="192"/>
    </row>
    <row r="225" spans="2:2">
      <c r="B225" s="192"/>
    </row>
    <row r="226" spans="2:2">
      <c r="B226" s="192"/>
    </row>
    <row r="227" spans="2:2">
      <c r="B227" s="192"/>
    </row>
    <row r="228" spans="2:2">
      <c r="B228" s="192"/>
    </row>
    <row r="229" spans="2:2">
      <c r="B229" s="192"/>
    </row>
    <row r="230" spans="2:2">
      <c r="B230" s="192"/>
    </row>
    <row r="231" spans="2:2">
      <c r="B231" s="192"/>
    </row>
    <row r="232" spans="2:2">
      <c r="B232" s="192"/>
    </row>
    <row r="233" spans="2:2">
      <c r="B233" s="192"/>
    </row>
    <row r="234" spans="2:2">
      <c r="B234" s="192"/>
    </row>
    <row r="235" spans="2:2">
      <c r="B235" s="192"/>
    </row>
    <row r="236" spans="2:2">
      <c r="B236" s="192"/>
    </row>
    <row r="237" spans="2:2">
      <c r="B237" s="192"/>
    </row>
    <row r="238" spans="2:2">
      <c r="B238" s="192"/>
    </row>
    <row r="239" spans="2:2">
      <c r="B239" s="192"/>
    </row>
    <row r="240" spans="2:2">
      <c r="B240" s="192"/>
    </row>
    <row r="241" spans="2:2">
      <c r="B241" s="192"/>
    </row>
    <row r="242" spans="2:2">
      <c r="B242" s="192"/>
    </row>
    <row r="243" spans="2:2">
      <c r="B243" s="192"/>
    </row>
    <row r="244" spans="2:2">
      <c r="B244" s="192"/>
    </row>
    <row r="245" spans="2:2">
      <c r="B245" s="192"/>
    </row>
    <row r="246" spans="2:2">
      <c r="B246" s="192"/>
    </row>
    <row r="247" spans="2:2">
      <c r="B247" s="192"/>
    </row>
    <row r="248" spans="2:2">
      <c r="B248" s="192"/>
    </row>
    <row r="249" spans="2:2">
      <c r="B249" s="192"/>
    </row>
    <row r="250" spans="2:2">
      <c r="B250" s="192"/>
    </row>
    <row r="251" spans="2:2">
      <c r="B251" s="192"/>
    </row>
    <row r="252" spans="2:2">
      <c r="B252" s="192"/>
    </row>
    <row r="253" spans="2:2">
      <c r="B253" s="192"/>
    </row>
    <row r="254" spans="2:2">
      <c r="B254" s="192"/>
    </row>
    <row r="255" spans="2:2">
      <c r="B255" s="192"/>
    </row>
    <row r="256" spans="2:2">
      <c r="B256" s="192"/>
    </row>
    <row r="257" spans="2:2">
      <c r="B257" s="192"/>
    </row>
    <row r="258" spans="2:2">
      <c r="B258" s="192"/>
    </row>
    <row r="259" spans="2:2">
      <c r="B259" s="192"/>
    </row>
    <row r="260" spans="2:2">
      <c r="B260" s="192"/>
    </row>
    <row r="261" spans="2:2">
      <c r="B261" s="192"/>
    </row>
    <row r="262" spans="2:2">
      <c r="B262" s="192"/>
    </row>
    <row r="263" spans="2:2">
      <c r="B263" s="192"/>
    </row>
    <row r="264" spans="2:2">
      <c r="B264" s="192"/>
    </row>
    <row r="265" spans="2:2">
      <c r="B265" s="192"/>
    </row>
    <row r="266" spans="2:2">
      <c r="B266" s="192"/>
    </row>
    <row r="267" spans="2:2">
      <c r="B267" s="192"/>
    </row>
    <row r="268" spans="2:2">
      <c r="B268" s="192"/>
    </row>
    <row r="269" spans="2:2">
      <c r="B269" s="192"/>
    </row>
    <row r="270" spans="2:2">
      <c r="B270" s="192"/>
    </row>
    <row r="271" spans="2:2">
      <c r="B271" s="192"/>
    </row>
    <row r="272" spans="2:2">
      <c r="B272" s="192"/>
    </row>
    <row r="273" spans="2:2">
      <c r="B273" s="192"/>
    </row>
    <row r="274" spans="2:2">
      <c r="B274" s="192"/>
    </row>
    <row r="275" spans="2:2">
      <c r="B275" s="192"/>
    </row>
    <row r="276" spans="2:2">
      <c r="B276" s="192"/>
    </row>
    <row r="277" spans="2:2">
      <c r="B277" s="192"/>
    </row>
    <row r="278" spans="2:2">
      <c r="B278" s="192"/>
    </row>
    <row r="279" spans="2:2">
      <c r="B279" s="192"/>
    </row>
    <row r="280" spans="2:2">
      <c r="B280" s="192"/>
    </row>
    <row r="281" spans="2:2">
      <c r="B281" s="192"/>
    </row>
    <row r="282" spans="2:2">
      <c r="B282" s="192"/>
    </row>
    <row r="283" spans="2:2">
      <c r="B283" s="192"/>
    </row>
    <row r="284" spans="2:2">
      <c r="B284" s="192"/>
    </row>
    <row r="285" spans="2:2">
      <c r="B285" s="192"/>
    </row>
    <row r="286" spans="2:2">
      <c r="B286" s="192"/>
    </row>
    <row r="287" spans="2:2">
      <c r="B287" s="192"/>
    </row>
    <row r="288" spans="2:2">
      <c r="B288" s="192"/>
    </row>
    <row r="289" spans="2:2">
      <c r="B289" s="192"/>
    </row>
    <row r="290" spans="2:2">
      <c r="B290" s="192"/>
    </row>
    <row r="291" spans="2:2">
      <c r="B291" s="192"/>
    </row>
    <row r="292" spans="2:2">
      <c r="B292" s="192"/>
    </row>
    <row r="293" spans="2:2">
      <c r="B293" s="192"/>
    </row>
    <row r="294" spans="2:2">
      <c r="B294" s="192"/>
    </row>
    <row r="295" spans="2:2">
      <c r="B295" s="192"/>
    </row>
    <row r="296" spans="2:2">
      <c r="B296" s="192"/>
    </row>
    <row r="297" spans="2:2">
      <c r="B297" s="192"/>
    </row>
    <row r="298" spans="2:2">
      <c r="B298" s="192"/>
    </row>
    <row r="299" spans="2:2">
      <c r="B299" s="192"/>
    </row>
    <row r="300" spans="2:2">
      <c r="B300" s="192"/>
    </row>
    <row r="301" spans="2:2">
      <c r="B301" s="192"/>
    </row>
    <row r="302" spans="2:2">
      <c r="B302" s="192"/>
    </row>
    <row r="303" spans="2:2">
      <c r="B303" s="192"/>
    </row>
    <row r="304" spans="2:2">
      <c r="B304" s="192"/>
    </row>
    <row r="305" spans="2:2">
      <c r="B305" s="192"/>
    </row>
    <row r="306" spans="2:2">
      <c r="B306" s="192"/>
    </row>
    <row r="307" spans="2:2">
      <c r="B307" s="192"/>
    </row>
    <row r="308" spans="2:2">
      <c r="B308" s="192"/>
    </row>
    <row r="309" spans="2:2">
      <c r="B309" s="192"/>
    </row>
    <row r="310" spans="2:2">
      <c r="B310" s="192"/>
    </row>
    <row r="311" spans="2:2">
      <c r="B311" s="192"/>
    </row>
    <row r="312" spans="2:2">
      <c r="B312" s="192"/>
    </row>
    <row r="313" spans="2:2">
      <c r="B313" s="192"/>
    </row>
    <row r="314" spans="2:2">
      <c r="B314" s="192"/>
    </row>
    <row r="315" spans="2:2">
      <c r="B315" s="192"/>
    </row>
    <row r="316" spans="2:2">
      <c r="B316" s="192"/>
    </row>
    <row r="317" spans="2:2">
      <c r="B317" s="192"/>
    </row>
    <row r="318" spans="2:2">
      <c r="B318" s="192"/>
    </row>
    <row r="319" spans="2:2">
      <c r="B319" s="192"/>
    </row>
    <row r="320" spans="2:2">
      <c r="B320" s="192"/>
    </row>
    <row r="321" spans="2:2">
      <c r="B321" s="192"/>
    </row>
    <row r="322" spans="2:2">
      <c r="B322" s="192"/>
    </row>
    <row r="323" spans="2:2">
      <c r="B323" s="192"/>
    </row>
    <row r="324" spans="2:2">
      <c r="B324" s="192"/>
    </row>
    <row r="325" spans="2:2">
      <c r="B325" s="192"/>
    </row>
    <row r="326" spans="2:2">
      <c r="B326" s="192"/>
    </row>
    <row r="327" spans="2:2">
      <c r="B327" s="192"/>
    </row>
    <row r="328" spans="2:2">
      <c r="B328" s="192"/>
    </row>
    <row r="329" spans="2:2">
      <c r="B329" s="192"/>
    </row>
    <row r="330" spans="2:2">
      <c r="B330" s="192"/>
    </row>
    <row r="331" spans="2:2">
      <c r="B331" s="192"/>
    </row>
    <row r="332" spans="2:2">
      <c r="B332" s="192"/>
    </row>
    <row r="333" spans="2:2">
      <c r="B333" s="192"/>
    </row>
    <row r="334" spans="2:2">
      <c r="B334" s="192"/>
    </row>
    <row r="335" spans="2:2">
      <c r="B335" s="192"/>
    </row>
    <row r="336" spans="2:2">
      <c r="B336" s="192"/>
    </row>
    <row r="337" spans="2:2">
      <c r="B337" s="192"/>
    </row>
    <row r="338" spans="2:2">
      <c r="B338" s="192"/>
    </row>
    <row r="339" spans="2:2">
      <c r="B339" s="192"/>
    </row>
    <row r="340" spans="2:2">
      <c r="B340" s="192"/>
    </row>
    <row r="341" spans="2:2">
      <c r="B341" s="192"/>
    </row>
    <row r="342" spans="2:2">
      <c r="B342" s="192"/>
    </row>
    <row r="343" spans="2:2">
      <c r="B343" s="192"/>
    </row>
    <row r="344" spans="2:2">
      <c r="B344" s="192"/>
    </row>
    <row r="345" spans="2:2">
      <c r="B345" s="192"/>
    </row>
    <row r="346" spans="2:2">
      <c r="B346" s="192"/>
    </row>
    <row r="347" spans="2:2">
      <c r="B347" s="192"/>
    </row>
    <row r="348" spans="2:2">
      <c r="B348" s="192"/>
    </row>
    <row r="349" spans="2:2">
      <c r="B349" s="192"/>
    </row>
    <row r="350" spans="2:2">
      <c r="B350" s="192"/>
    </row>
    <row r="351" spans="2:2">
      <c r="B351" s="192"/>
    </row>
    <row r="352" spans="2:2">
      <c r="B352" s="192"/>
    </row>
    <row r="353" spans="2:2">
      <c r="B353" s="192"/>
    </row>
    <row r="354" spans="2:2">
      <c r="B354" s="192"/>
    </row>
    <row r="355" spans="2:2">
      <c r="B355" s="192"/>
    </row>
    <row r="356" spans="2:2">
      <c r="B356" s="192"/>
    </row>
    <row r="357" spans="2:2">
      <c r="B357" s="192"/>
    </row>
    <row r="358" spans="2:2">
      <c r="B358" s="192"/>
    </row>
    <row r="359" spans="2:2">
      <c r="B359" s="192"/>
    </row>
    <row r="360" spans="2:2">
      <c r="B360" s="192"/>
    </row>
    <row r="361" spans="2:2">
      <c r="B361" s="192"/>
    </row>
    <row r="362" spans="2:2">
      <c r="B362" s="192"/>
    </row>
    <row r="363" spans="2:2">
      <c r="B363" s="192"/>
    </row>
    <row r="364" spans="2:2">
      <c r="B364" s="192"/>
    </row>
    <row r="365" spans="2:2">
      <c r="B365" s="192"/>
    </row>
    <row r="366" spans="2:2">
      <c r="B366" s="192"/>
    </row>
    <row r="367" spans="2:2">
      <c r="B367" s="192"/>
    </row>
    <row r="368" spans="2:2">
      <c r="B368" s="192"/>
    </row>
    <row r="369" spans="2:2">
      <c r="B369" s="192"/>
    </row>
    <row r="370" spans="2:2">
      <c r="B370" s="192"/>
    </row>
    <row r="371" spans="2:2">
      <c r="B371" s="192"/>
    </row>
    <row r="372" spans="2:2">
      <c r="B372" s="192"/>
    </row>
    <row r="373" spans="2:2">
      <c r="B373" s="192"/>
    </row>
    <row r="374" spans="2:2">
      <c r="B374" s="192"/>
    </row>
    <row r="375" spans="2:2">
      <c r="B375" s="192"/>
    </row>
    <row r="376" spans="2:2">
      <c r="B376" s="192"/>
    </row>
    <row r="377" spans="2:2">
      <c r="B377" s="192"/>
    </row>
    <row r="378" spans="2:2">
      <c r="B378" s="192"/>
    </row>
    <row r="379" spans="2:2">
      <c r="B379" s="192"/>
    </row>
    <row r="380" spans="2:2">
      <c r="B380" s="192"/>
    </row>
    <row r="381" spans="2:2">
      <c r="B381" s="192"/>
    </row>
    <row r="382" spans="2:2">
      <c r="B382" s="192"/>
    </row>
    <row r="383" spans="2:2">
      <c r="B383" s="192"/>
    </row>
    <row r="384" spans="2:2">
      <c r="B384" s="192"/>
    </row>
    <row r="385" spans="2:2">
      <c r="B385" s="192"/>
    </row>
    <row r="386" spans="2:2">
      <c r="B386" s="192"/>
    </row>
    <row r="387" spans="2:2">
      <c r="B387" s="192"/>
    </row>
    <row r="388" spans="2:2">
      <c r="B388" s="192"/>
    </row>
    <row r="389" spans="2:2">
      <c r="B389" s="192"/>
    </row>
    <row r="390" spans="2:2">
      <c r="B390" s="192"/>
    </row>
    <row r="391" spans="2:2">
      <c r="B391" s="192"/>
    </row>
    <row r="392" spans="2:2">
      <c r="B392" s="192"/>
    </row>
    <row r="393" spans="2:2">
      <c r="B393" s="192"/>
    </row>
    <row r="394" spans="2:2">
      <c r="B394" s="192"/>
    </row>
    <row r="395" spans="2:2">
      <c r="B395" s="192"/>
    </row>
    <row r="396" spans="2:2">
      <c r="B396" s="192"/>
    </row>
    <row r="397" spans="2:2">
      <c r="B397" s="192"/>
    </row>
    <row r="398" spans="2:2">
      <c r="B398" s="192"/>
    </row>
    <row r="399" spans="2:2">
      <c r="B399" s="192"/>
    </row>
    <row r="400" spans="2:2">
      <c r="B400" s="192"/>
    </row>
    <row r="401" spans="2:2">
      <c r="B401" s="192"/>
    </row>
    <row r="402" spans="2:2">
      <c r="B402" s="192"/>
    </row>
    <row r="403" spans="2:2">
      <c r="B403" s="192"/>
    </row>
    <row r="404" spans="2:2">
      <c r="B404" s="192"/>
    </row>
    <row r="405" spans="2:2">
      <c r="B405" s="192"/>
    </row>
    <row r="406" spans="2:2">
      <c r="B406" s="192"/>
    </row>
    <row r="407" spans="2:2">
      <c r="B407" s="192"/>
    </row>
    <row r="408" spans="2:2">
      <c r="B408" s="192"/>
    </row>
    <row r="409" spans="2:2">
      <c r="B409" s="192"/>
    </row>
    <row r="410" spans="2:2">
      <c r="B410" s="192"/>
    </row>
    <row r="411" spans="2:2">
      <c r="B411" s="192"/>
    </row>
    <row r="412" spans="2:2">
      <c r="B412" s="192"/>
    </row>
    <row r="413" spans="2:2">
      <c r="B413" s="192"/>
    </row>
    <row r="414" spans="2:2">
      <c r="B414" s="192"/>
    </row>
    <row r="415" spans="2:2">
      <c r="B415" s="192"/>
    </row>
    <row r="416" spans="2:2">
      <c r="B416" s="192"/>
    </row>
    <row r="417" spans="2:2">
      <c r="B417" s="192"/>
    </row>
    <row r="418" spans="2:2">
      <c r="B418" s="192"/>
    </row>
    <row r="419" spans="2:2">
      <c r="B419" s="192"/>
    </row>
    <row r="420" spans="2:2">
      <c r="B420" s="192"/>
    </row>
    <row r="421" spans="2:2">
      <c r="B421" s="192"/>
    </row>
    <row r="422" spans="2:2">
      <c r="B422" s="192"/>
    </row>
    <row r="423" spans="2:2">
      <c r="B423" s="192"/>
    </row>
    <row r="424" spans="2:2">
      <c r="B424" s="192"/>
    </row>
    <row r="425" spans="2:2">
      <c r="B425" s="192"/>
    </row>
    <row r="426" spans="2:2">
      <c r="B426" s="192"/>
    </row>
    <row r="427" spans="2:2">
      <c r="B427" s="192"/>
    </row>
    <row r="428" spans="2:2">
      <c r="B428" s="192"/>
    </row>
    <row r="429" spans="2:2">
      <c r="B429" s="192"/>
    </row>
    <row r="430" spans="2:2">
      <c r="B430" s="192"/>
    </row>
    <row r="431" spans="2:2">
      <c r="B431" s="192"/>
    </row>
    <row r="432" spans="2:2">
      <c r="B432" s="192"/>
    </row>
    <row r="433" spans="2:2">
      <c r="B433" s="192"/>
    </row>
    <row r="434" spans="2:2">
      <c r="B434" s="192"/>
    </row>
    <row r="435" spans="2:2">
      <c r="B435" s="192"/>
    </row>
    <row r="436" spans="2:2">
      <c r="B436" s="192"/>
    </row>
    <row r="437" spans="2:2">
      <c r="B437" s="192"/>
    </row>
    <row r="438" spans="2:2">
      <c r="B438" s="192"/>
    </row>
    <row r="439" spans="2:2">
      <c r="B439" s="192"/>
    </row>
    <row r="440" spans="2:2">
      <c r="B440" s="192"/>
    </row>
    <row r="441" spans="2:2">
      <c r="B441" s="192"/>
    </row>
    <row r="442" spans="2:2">
      <c r="B442" s="192"/>
    </row>
    <row r="443" spans="2:2">
      <c r="B443" s="192"/>
    </row>
    <row r="444" spans="2:2">
      <c r="B444" s="192"/>
    </row>
    <row r="445" spans="2:2">
      <c r="B445" s="192"/>
    </row>
    <row r="446" spans="2:2">
      <c r="B446" s="192"/>
    </row>
    <row r="447" spans="2:2">
      <c r="B447" s="192"/>
    </row>
    <row r="448" spans="2:2">
      <c r="B448" s="192"/>
    </row>
    <row r="449" spans="2:2">
      <c r="B449" s="192"/>
    </row>
    <row r="450" spans="2:2">
      <c r="B450" s="192"/>
    </row>
    <row r="451" spans="2:2">
      <c r="B451" s="192"/>
    </row>
    <row r="452" spans="2:2">
      <c r="B452" s="192"/>
    </row>
    <row r="453" spans="2:2">
      <c r="B453" s="192"/>
    </row>
    <row r="454" spans="2:2">
      <c r="B454" s="192"/>
    </row>
    <row r="455" spans="2:2">
      <c r="B455" s="192"/>
    </row>
    <row r="456" spans="2:2">
      <c r="B456" s="192"/>
    </row>
    <row r="457" spans="2:2">
      <c r="B457" s="192"/>
    </row>
    <row r="458" spans="2:2">
      <c r="B458" s="192"/>
    </row>
    <row r="459" spans="2:2">
      <c r="B459" s="192"/>
    </row>
    <row r="460" spans="2:2">
      <c r="B460" s="192"/>
    </row>
    <row r="461" spans="2:2">
      <c r="B461" s="192"/>
    </row>
    <row r="462" spans="2:2">
      <c r="B462" s="192"/>
    </row>
    <row r="463" spans="2:2">
      <c r="B463" s="192"/>
    </row>
    <row r="464" spans="2:2">
      <c r="B464" s="192"/>
    </row>
    <row r="465" spans="2:2">
      <c r="B465" s="192"/>
    </row>
    <row r="466" spans="2:2">
      <c r="B466" s="192"/>
    </row>
    <row r="467" spans="2:2">
      <c r="B467" s="192"/>
    </row>
    <row r="468" spans="2:2">
      <c r="B468" s="192"/>
    </row>
    <row r="469" spans="2:2">
      <c r="B469" s="192"/>
    </row>
    <row r="470" spans="2:2">
      <c r="B470" s="192"/>
    </row>
    <row r="471" spans="2:2">
      <c r="B471" s="192"/>
    </row>
    <row r="472" spans="2:2">
      <c r="B472" s="192"/>
    </row>
    <row r="473" spans="2:2">
      <c r="B473" s="192"/>
    </row>
    <row r="474" spans="2:2">
      <c r="B474" s="192"/>
    </row>
    <row r="475" spans="2:2">
      <c r="B475" s="192"/>
    </row>
    <row r="476" spans="2:2">
      <c r="B476" s="192"/>
    </row>
    <row r="477" spans="2:2">
      <c r="B477" s="192"/>
    </row>
    <row r="478" spans="2:2">
      <c r="B478" s="192"/>
    </row>
    <row r="479" spans="2:2">
      <c r="B479" s="192"/>
    </row>
    <row r="480" spans="2:2">
      <c r="B480" s="192"/>
    </row>
    <row r="481" spans="2:2">
      <c r="B481" s="192"/>
    </row>
    <row r="482" spans="2:2">
      <c r="B482" s="192"/>
    </row>
    <row r="483" spans="2:2">
      <c r="B483" s="192"/>
    </row>
    <row r="484" spans="2:2">
      <c r="B484" s="192"/>
    </row>
    <row r="485" spans="2:2">
      <c r="B485" s="192"/>
    </row>
    <row r="486" spans="2:2">
      <c r="B486" s="192"/>
    </row>
    <row r="487" spans="2:2">
      <c r="B487" s="192"/>
    </row>
    <row r="488" spans="2:2">
      <c r="B488" s="192"/>
    </row>
    <row r="489" spans="2:2">
      <c r="B489" s="192"/>
    </row>
    <row r="490" spans="2:2">
      <c r="B490" s="192"/>
    </row>
    <row r="491" spans="2:2">
      <c r="B491" s="192"/>
    </row>
    <row r="492" spans="2:2">
      <c r="B492" s="192"/>
    </row>
    <row r="493" spans="2:2">
      <c r="B493" s="192"/>
    </row>
    <row r="494" spans="2:2">
      <c r="B494" s="192"/>
    </row>
    <row r="495" spans="2:2">
      <c r="B495" s="192"/>
    </row>
    <row r="496" spans="2:2">
      <c r="B496" s="192"/>
    </row>
    <row r="497" spans="2:2">
      <c r="B497" s="192"/>
    </row>
    <row r="498" spans="2:2">
      <c r="B498" s="192"/>
    </row>
    <row r="499" spans="2:2">
      <c r="B499" s="192"/>
    </row>
    <row r="500" spans="2:2">
      <c r="B500" s="192"/>
    </row>
    <row r="501" spans="2:2">
      <c r="B501" s="192"/>
    </row>
    <row r="502" spans="2:2">
      <c r="B502" s="192"/>
    </row>
    <row r="503" spans="2:2">
      <c r="B503" s="192"/>
    </row>
    <row r="504" spans="2:2">
      <c r="B504" s="192"/>
    </row>
    <row r="505" spans="2:2">
      <c r="B505" s="192"/>
    </row>
    <row r="506" spans="2:2">
      <c r="B506" s="192"/>
    </row>
    <row r="507" spans="2:2">
      <c r="B507" s="192"/>
    </row>
    <row r="508" spans="2:2">
      <c r="B508" s="192"/>
    </row>
    <row r="509" spans="2:2">
      <c r="B509" s="192"/>
    </row>
    <row r="510" spans="2:2">
      <c r="B510" s="192"/>
    </row>
    <row r="511" spans="2:2">
      <c r="B511" s="192"/>
    </row>
    <row r="512" spans="2:2">
      <c r="B512" s="192"/>
    </row>
    <row r="513" spans="2:2">
      <c r="B513" s="192"/>
    </row>
    <row r="514" spans="2:2">
      <c r="B514" s="192"/>
    </row>
    <row r="515" spans="2:2">
      <c r="B515" s="192"/>
    </row>
    <row r="516" spans="2:2">
      <c r="B516" s="192"/>
    </row>
    <row r="517" spans="2:2">
      <c r="B517" s="192"/>
    </row>
    <row r="518" spans="2:2">
      <c r="B518" s="192"/>
    </row>
    <row r="519" spans="2:2">
      <c r="B519" s="192"/>
    </row>
    <row r="520" spans="2:2">
      <c r="B520" s="192"/>
    </row>
  </sheetData>
  <mergeCells count="5">
    <mergeCell ref="A2:C2"/>
    <mergeCell ref="A1:C1"/>
    <mergeCell ref="D5:D12"/>
    <mergeCell ref="D79:D80"/>
    <mergeCell ref="D14:D20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65" fitToHeight="2" orientation="portrait" r:id="rId1"/>
  <headerFooter alignWithMargins="0"/>
  <rowBreaks count="1" manualBreakCount="1">
    <brk id="67" max="2" man="1"/>
  </rowBreaks>
</worksheet>
</file>

<file path=xl/worksheets/sheet20.xml><?xml version="1.0" encoding="utf-8"?>
<worksheet xmlns="http://schemas.openxmlformats.org/spreadsheetml/2006/main" xmlns:r="http://schemas.openxmlformats.org/officeDocument/2006/relationships">
  <sheetPr>
    <tabColor theme="9" tint="-0.249977111117893"/>
  </sheetPr>
  <dimension ref="A1:K29"/>
  <sheetViews>
    <sheetView view="pageBreakPreview" zoomScale="60" zoomScaleNormal="100" workbookViewId="0">
      <selection sqref="A1:F1"/>
    </sheetView>
  </sheetViews>
  <sheetFormatPr defaultRowHeight="15"/>
  <cols>
    <col min="1" max="1" width="36" customWidth="1"/>
    <col min="2" max="2" width="17.28515625" bestFit="1" customWidth="1"/>
    <col min="3" max="3" width="17.28515625" customWidth="1"/>
    <col min="4" max="4" width="17.28515625" bestFit="1" customWidth="1"/>
    <col min="5" max="5" width="17.28515625" customWidth="1"/>
    <col min="6" max="7" width="19" customWidth="1"/>
    <col min="8" max="8" width="18.28515625" customWidth="1"/>
    <col min="9" max="9" width="16.28515625" customWidth="1"/>
  </cols>
  <sheetData>
    <row r="1" spans="1:11" ht="15.75">
      <c r="A1" s="726" t="s">
        <v>617</v>
      </c>
      <c r="B1" s="726"/>
      <c r="C1" s="726"/>
      <c r="D1" s="726"/>
      <c r="E1" s="726"/>
      <c r="F1" s="726"/>
      <c r="G1" s="451"/>
      <c r="H1" s="451"/>
      <c r="I1" s="206"/>
      <c r="J1" s="206"/>
      <c r="K1" s="206"/>
    </row>
    <row r="2" spans="1:11" ht="15.75">
      <c r="A2" s="129"/>
      <c r="B2" s="129"/>
      <c r="C2" s="129"/>
      <c r="D2" s="129"/>
      <c r="E2" s="129"/>
      <c r="F2" s="129"/>
      <c r="G2" s="129"/>
      <c r="H2" s="129"/>
      <c r="I2" s="206"/>
      <c r="J2" s="206"/>
      <c r="K2" s="206"/>
    </row>
    <row r="3" spans="1:11" ht="30" customHeight="1">
      <c r="A3" s="735" t="s">
        <v>214</v>
      </c>
      <c r="B3" s="735"/>
      <c r="C3" s="735"/>
      <c r="D3" s="735"/>
      <c r="E3" s="735"/>
      <c r="F3" s="735"/>
      <c r="G3" s="630"/>
      <c r="H3" s="630"/>
      <c r="I3" s="225"/>
      <c r="J3" s="225"/>
      <c r="K3" s="225"/>
    </row>
    <row r="4" spans="1:11" ht="30" customHeight="1">
      <c r="A4" s="225"/>
      <c r="B4" s="225"/>
      <c r="C4" s="454"/>
      <c r="D4" s="225"/>
      <c r="E4" s="509"/>
      <c r="F4" s="225"/>
      <c r="G4" s="509"/>
      <c r="H4" s="225"/>
      <c r="I4" s="225"/>
      <c r="J4" s="225"/>
      <c r="K4" s="225"/>
    </row>
    <row r="5" spans="1:11" ht="30" customHeight="1" thickBot="1">
      <c r="E5" s="128" t="s">
        <v>320</v>
      </c>
    </row>
    <row r="6" spans="1:11" ht="30" customHeight="1" thickBot="1">
      <c r="A6" s="281" t="s">
        <v>65</v>
      </c>
      <c r="B6" s="549">
        <v>2020</v>
      </c>
      <c r="C6" s="549">
        <v>2021</v>
      </c>
      <c r="D6" s="549">
        <v>2022</v>
      </c>
      <c r="E6" s="549">
        <v>2023</v>
      </c>
    </row>
    <row r="7" spans="1:11" ht="30" customHeight="1" thickBot="1">
      <c r="A7" s="474"/>
      <c r="B7" s="528" t="s">
        <v>374</v>
      </c>
      <c r="C7" s="528" t="s">
        <v>374</v>
      </c>
      <c r="D7" s="528" t="s">
        <v>374</v>
      </c>
      <c r="E7" s="528" t="s">
        <v>374</v>
      </c>
    </row>
    <row r="8" spans="1:11" ht="15" customHeight="1">
      <c r="A8" s="211" t="s">
        <v>192</v>
      </c>
      <c r="B8" s="529">
        <f>+'2.sz.mell.'!C25</f>
        <v>268775970</v>
      </c>
      <c r="C8" s="529">
        <v>310000000</v>
      </c>
      <c r="D8" s="529">
        <v>315000000</v>
      </c>
      <c r="E8" s="527">
        <v>320000000</v>
      </c>
    </row>
    <row r="9" spans="1:11" ht="30" customHeight="1">
      <c r="A9" s="212" t="s">
        <v>193</v>
      </c>
      <c r="B9" s="367">
        <f>+'2.sz.mell.'!C36</f>
        <v>95791880</v>
      </c>
      <c r="C9" s="367">
        <v>34000000</v>
      </c>
      <c r="D9" s="367">
        <v>38000000</v>
      </c>
      <c r="E9" s="370">
        <v>42000000</v>
      </c>
    </row>
    <row r="10" spans="1:11" ht="15" customHeight="1">
      <c r="A10" s="213" t="s">
        <v>105</v>
      </c>
      <c r="B10" s="367">
        <f>+'2.sz.mell.'!C43</f>
        <v>79270000</v>
      </c>
      <c r="C10" s="367">
        <v>60000000</v>
      </c>
      <c r="D10" s="367">
        <v>60000000</v>
      </c>
      <c r="E10" s="367">
        <v>60000000</v>
      </c>
    </row>
    <row r="11" spans="1:11" ht="15" customHeight="1">
      <c r="A11" s="213" t="s">
        <v>106</v>
      </c>
      <c r="B11" s="367">
        <f>+'2.sz.mell.'!C55</f>
        <v>55450000</v>
      </c>
      <c r="C11" s="367">
        <v>48000000</v>
      </c>
      <c r="D11" s="367">
        <v>46000000</v>
      </c>
      <c r="E11" s="370">
        <v>45000000</v>
      </c>
    </row>
    <row r="12" spans="1:11" ht="15" customHeight="1">
      <c r="A12" s="213" t="s">
        <v>194</v>
      </c>
      <c r="B12" s="367">
        <f>+'2.sz.mell.'!C57</f>
        <v>0</v>
      </c>
      <c r="C12" s="367">
        <v>0</v>
      </c>
      <c r="D12" s="367">
        <v>0</v>
      </c>
      <c r="E12" s="370">
        <v>0</v>
      </c>
    </row>
    <row r="13" spans="1:11" ht="15" customHeight="1">
      <c r="A13" s="213" t="s">
        <v>7</v>
      </c>
      <c r="B13" s="367">
        <v>0</v>
      </c>
      <c r="C13" s="367">
        <v>0</v>
      </c>
      <c r="D13" s="367">
        <v>0</v>
      </c>
      <c r="E13" s="370">
        <v>0</v>
      </c>
    </row>
    <row r="14" spans="1:11" ht="15" customHeight="1">
      <c r="A14" s="213" t="s">
        <v>195</v>
      </c>
      <c r="B14" s="367">
        <f>+'2.sz.mell.'!C62</f>
        <v>5096029</v>
      </c>
      <c r="C14" s="367">
        <v>5000000</v>
      </c>
      <c r="D14" s="367">
        <v>5000000</v>
      </c>
      <c r="E14" s="370">
        <v>0</v>
      </c>
    </row>
    <row r="15" spans="1:11" ht="15" customHeight="1" thickBot="1">
      <c r="A15" s="214" t="s">
        <v>196</v>
      </c>
      <c r="B15" s="368">
        <f>+'2.sz.mell.'!C64</f>
        <v>225056072</v>
      </c>
      <c r="C15" s="368">
        <v>120000000</v>
      </c>
      <c r="D15" s="368">
        <v>80000000</v>
      </c>
      <c r="E15" s="371">
        <v>75000000</v>
      </c>
    </row>
    <row r="16" spans="1:11" ht="15" customHeight="1" thickBot="1">
      <c r="A16" s="215" t="s">
        <v>182</v>
      </c>
      <c r="B16" s="369">
        <f>SUM(B8:B15)</f>
        <v>729439951</v>
      </c>
      <c r="C16" s="369">
        <f t="shared" ref="C16:E16" si="0">SUM(C8:C15)</f>
        <v>577000000</v>
      </c>
      <c r="D16" s="369">
        <f t="shared" si="0"/>
        <v>544000000</v>
      </c>
      <c r="E16" s="369">
        <f t="shared" si="0"/>
        <v>542000000</v>
      </c>
    </row>
    <row r="17" spans="1:8" ht="30" customHeight="1" thickBot="1">
      <c r="B17" s="325"/>
      <c r="C17" s="325"/>
      <c r="D17" s="325"/>
      <c r="E17" s="325"/>
    </row>
    <row r="18" spans="1:8" ht="15" customHeight="1">
      <c r="A18" s="211" t="s">
        <v>17</v>
      </c>
      <c r="B18" s="372">
        <f>+'2.sz.mell.'!C72</f>
        <v>222999810</v>
      </c>
      <c r="C18" s="377">
        <v>220000000</v>
      </c>
      <c r="D18" s="378">
        <v>220000000</v>
      </c>
      <c r="E18" s="379">
        <v>220000000</v>
      </c>
    </row>
    <row r="19" spans="1:8" ht="15" customHeight="1">
      <c r="A19" s="213" t="s">
        <v>197</v>
      </c>
      <c r="B19" s="373">
        <f>+'2.sz.mell.'!C73</f>
        <v>37774837</v>
      </c>
      <c r="C19" s="380">
        <v>35000000</v>
      </c>
      <c r="D19" s="380">
        <v>35000000</v>
      </c>
      <c r="E19" s="380">
        <v>35000000</v>
      </c>
    </row>
    <row r="20" spans="1:8" ht="15" customHeight="1">
      <c r="A20" s="213" t="s">
        <v>19</v>
      </c>
      <c r="B20" s="373">
        <f>+'2.sz.mell.'!C74</f>
        <v>200426841</v>
      </c>
      <c r="C20" s="380">
        <f>16000000+137000000-C25</f>
        <v>152476284</v>
      </c>
      <c r="D20" s="381">
        <f>13000000+140000000-D25</f>
        <v>152449986</v>
      </c>
      <c r="E20" s="382">
        <f>150000000-E25</f>
        <v>149471743</v>
      </c>
    </row>
    <row r="21" spans="1:8" ht="15" customHeight="1">
      <c r="A21" s="213" t="s">
        <v>479</v>
      </c>
      <c r="B21" s="373">
        <f>+'2.sz.mell.'!C76</f>
        <v>0</v>
      </c>
      <c r="C21" s="380">
        <v>0</v>
      </c>
      <c r="D21" s="381">
        <v>0</v>
      </c>
      <c r="E21" s="382">
        <v>0</v>
      </c>
    </row>
    <row r="22" spans="1:8" ht="15" customHeight="1">
      <c r="A22" s="213" t="s">
        <v>185</v>
      </c>
      <c r="B22" s="373">
        <f>+'2.sz.mell.'!C75</f>
        <v>3147000</v>
      </c>
      <c r="C22" s="380">
        <v>4000000</v>
      </c>
      <c r="D22" s="381">
        <v>5000000</v>
      </c>
      <c r="E22" s="382">
        <v>6000000</v>
      </c>
    </row>
    <row r="23" spans="1:8" ht="15" customHeight="1">
      <c r="A23" s="213" t="s">
        <v>111</v>
      </c>
      <c r="B23" s="373">
        <f>+'2.sz.mell.'!C79+'2.sz.mell.'!C80</f>
        <v>95627898</v>
      </c>
      <c r="C23" s="380">
        <v>76000000</v>
      </c>
      <c r="D23" s="381">
        <v>78000000</v>
      </c>
      <c r="E23" s="382">
        <v>82000000</v>
      </c>
    </row>
    <row r="24" spans="1:8" ht="15" customHeight="1">
      <c r="A24" s="213" t="s">
        <v>333</v>
      </c>
      <c r="B24" s="373">
        <f>+'2.sz.mell.'!C77</f>
        <v>10751039</v>
      </c>
      <c r="C24" s="380">
        <v>0</v>
      </c>
      <c r="D24" s="381">
        <v>0</v>
      </c>
      <c r="E24" s="382">
        <v>0</v>
      </c>
    </row>
    <row r="25" spans="1:8" ht="15" customHeight="1">
      <c r="A25" s="213" t="s">
        <v>478</v>
      </c>
      <c r="B25" s="373">
        <f>+'2.sz.mell.'!C78</f>
        <v>0</v>
      </c>
      <c r="C25" s="530">
        <v>523716</v>
      </c>
      <c r="D25" s="381">
        <v>550014</v>
      </c>
      <c r="E25" s="382">
        <v>528257</v>
      </c>
    </row>
    <row r="26" spans="1:8" ht="15" customHeight="1">
      <c r="A26" s="213" t="s">
        <v>112</v>
      </c>
      <c r="B26" s="373">
        <f>+'2.sz.mell.'!C82+'2.sz.mell.'!C83</f>
        <v>98896424</v>
      </c>
      <c r="C26" s="380">
        <v>5000000</v>
      </c>
      <c r="D26" s="381">
        <v>5000000</v>
      </c>
      <c r="E26" s="382">
        <v>5000000</v>
      </c>
    </row>
    <row r="27" spans="1:8" ht="15" customHeight="1" thickBot="1">
      <c r="A27" s="214" t="s">
        <v>60</v>
      </c>
      <c r="B27" s="374">
        <f>+'2.sz.mell.'!C88</f>
        <v>59816102</v>
      </c>
      <c r="C27" s="383">
        <f>116500000-32500000</f>
        <v>84000000</v>
      </c>
      <c r="D27" s="384">
        <f>77200000-29200000</f>
        <v>48000000</v>
      </c>
      <c r="E27" s="385">
        <f>76000000-32000000</f>
        <v>44000000</v>
      </c>
    </row>
    <row r="28" spans="1:8" ht="15" customHeight="1" thickBot="1">
      <c r="A28" s="215" t="s">
        <v>189</v>
      </c>
      <c r="B28" s="375">
        <f>SUM(B18:B27)</f>
        <v>729439951</v>
      </c>
      <c r="C28" s="386">
        <f t="shared" ref="C28:E28" si="1">SUM(C18:C27)</f>
        <v>577000000</v>
      </c>
      <c r="D28" s="386">
        <f t="shared" si="1"/>
        <v>544000000</v>
      </c>
      <c r="E28" s="386">
        <f t="shared" si="1"/>
        <v>542000000</v>
      </c>
    </row>
    <row r="29" spans="1:8" ht="30" customHeight="1">
      <c r="C29" s="376"/>
      <c r="D29" s="376"/>
      <c r="E29" s="376"/>
      <c r="F29" s="376"/>
      <c r="G29" s="376"/>
      <c r="H29" s="376"/>
    </row>
  </sheetData>
  <mergeCells count="2">
    <mergeCell ref="A3:F3"/>
    <mergeCell ref="A1:F1"/>
  </mergeCells>
  <phoneticPr fontId="0" type="noConversion"/>
  <pageMargins left="0.75" right="0.75" top="1" bottom="1" header="0.5" footer="0.5"/>
  <pageSetup paperSize="9" scale="69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>
  <sheetPr>
    <tabColor theme="9" tint="-0.499984740745262"/>
  </sheetPr>
  <dimension ref="B1:L27"/>
  <sheetViews>
    <sheetView tabSelected="1" view="pageBreakPreview" topLeftCell="A10" zoomScale="60" zoomScaleNormal="100" workbookViewId="0">
      <selection activeCell="B1" sqref="B1:H1"/>
    </sheetView>
  </sheetViews>
  <sheetFormatPr defaultRowHeight="15"/>
  <cols>
    <col min="1" max="1" width="5.5703125" customWidth="1"/>
    <col min="2" max="2" width="46.7109375" customWidth="1"/>
    <col min="3" max="3" width="12.28515625" customWidth="1"/>
    <col min="4" max="4" width="13.85546875" customWidth="1"/>
    <col min="5" max="6" width="12.28515625" customWidth="1"/>
    <col min="7" max="7" width="11.85546875" customWidth="1"/>
    <col min="8" max="8" width="11.7109375" customWidth="1"/>
    <col min="9" max="9" width="6" customWidth="1"/>
  </cols>
  <sheetData>
    <row r="1" spans="2:12">
      <c r="B1" s="736" t="s">
        <v>619</v>
      </c>
      <c r="C1" s="737"/>
      <c r="D1" s="737"/>
      <c r="E1" s="737"/>
      <c r="F1" s="737"/>
      <c r="G1" s="737"/>
      <c r="H1" s="737"/>
    </row>
    <row r="3" spans="2:12">
      <c r="B3" s="728" t="s">
        <v>191</v>
      </c>
      <c r="C3" s="728"/>
      <c r="D3" s="728"/>
      <c r="E3" s="728"/>
      <c r="F3" s="728"/>
      <c r="G3" s="728"/>
      <c r="H3" s="728"/>
      <c r="I3" s="233"/>
    </row>
    <row r="4" spans="2:12" ht="30" customHeight="1">
      <c r="B4" s="738" t="s">
        <v>349</v>
      </c>
      <c r="C4" s="739"/>
      <c r="D4" s="739"/>
      <c r="E4" s="739"/>
      <c r="F4" s="739"/>
      <c r="G4" s="739"/>
      <c r="H4" s="739"/>
      <c r="I4" s="238"/>
      <c r="J4" s="238"/>
    </row>
    <row r="5" spans="2:12" ht="30" customHeight="1">
      <c r="B5" s="286"/>
      <c r="C5" s="287"/>
      <c r="D5" s="513"/>
      <c r="E5" s="287"/>
      <c r="F5" s="287"/>
      <c r="G5" s="287"/>
      <c r="H5" s="287"/>
      <c r="I5" s="287"/>
      <c r="J5" s="287"/>
    </row>
    <row r="6" spans="2:12">
      <c r="B6" s="233"/>
      <c r="C6" s="233"/>
      <c r="D6" s="233"/>
      <c r="E6" s="233"/>
      <c r="F6" s="233"/>
      <c r="G6" s="304" t="s">
        <v>320</v>
      </c>
      <c r="I6" s="233"/>
      <c r="L6" t="s">
        <v>618</v>
      </c>
    </row>
    <row r="7" spans="2:12">
      <c r="B7" s="234"/>
      <c r="C7" s="609">
        <v>2020</v>
      </c>
      <c r="D7" s="387">
        <v>2021</v>
      </c>
      <c r="E7" s="387">
        <v>2022</v>
      </c>
      <c r="F7" s="387">
        <v>2023</v>
      </c>
      <c r="G7" s="387">
        <v>2024</v>
      </c>
    </row>
    <row r="8" spans="2:12">
      <c r="B8" s="531"/>
      <c r="C8" s="528" t="s">
        <v>374</v>
      </c>
      <c r="D8" s="528" t="s">
        <v>374</v>
      </c>
      <c r="E8" s="528" t="s">
        <v>374</v>
      </c>
      <c r="F8" s="528" t="s">
        <v>374</v>
      </c>
      <c r="G8" s="528" t="s">
        <v>374</v>
      </c>
    </row>
    <row r="9" spans="2:12">
      <c r="B9" s="235" t="s">
        <v>57</v>
      </c>
      <c r="C9" s="326"/>
      <c r="D9" s="390"/>
      <c r="E9" s="390"/>
      <c r="F9" s="390"/>
      <c r="G9" s="390"/>
    </row>
    <row r="10" spans="2:12">
      <c r="B10" s="234" t="s">
        <v>198</v>
      </c>
      <c r="C10" s="388">
        <f>+'2.sz.mell.'!C38+'2.sz.mell.'!C37</f>
        <v>67500000</v>
      </c>
      <c r="D10" s="388">
        <v>45000000</v>
      </c>
      <c r="E10" s="388">
        <v>45000000</v>
      </c>
      <c r="F10" s="388">
        <v>40000000</v>
      </c>
      <c r="G10" s="388">
        <v>40000000</v>
      </c>
    </row>
    <row r="11" spans="2:12" ht="45">
      <c r="B11" s="236" t="s">
        <v>199</v>
      </c>
      <c r="C11" s="389">
        <v>0</v>
      </c>
      <c r="D11" s="389">
        <v>0</v>
      </c>
      <c r="E11" s="389">
        <v>0</v>
      </c>
      <c r="F11" s="389">
        <v>0</v>
      </c>
      <c r="G11" s="389">
        <v>0</v>
      </c>
    </row>
    <row r="12" spans="2:12" ht="16.5" customHeight="1">
      <c r="B12" s="236" t="s">
        <v>200</v>
      </c>
      <c r="C12" s="388">
        <f>+'5 b.sz.mell.'!D16+'5 b.sz.mell.'!D18</f>
        <v>17145000</v>
      </c>
      <c r="D12" s="388">
        <v>11000000</v>
      </c>
      <c r="E12" s="388">
        <v>11000000</v>
      </c>
      <c r="F12" s="388">
        <v>11000000</v>
      </c>
      <c r="G12" s="388">
        <v>11000000</v>
      </c>
    </row>
    <row r="13" spans="2:12" ht="45" customHeight="1">
      <c r="B13" s="236" t="s">
        <v>201</v>
      </c>
      <c r="C13" s="389">
        <v>0</v>
      </c>
      <c r="D13" s="389">
        <v>0</v>
      </c>
      <c r="E13" s="389">
        <v>0</v>
      </c>
      <c r="F13" s="389">
        <v>0</v>
      </c>
      <c r="G13" s="389">
        <v>0</v>
      </c>
    </row>
    <row r="14" spans="2:12">
      <c r="B14" s="236" t="s">
        <v>202</v>
      </c>
      <c r="C14" s="388">
        <f>+'2.sz.mell.'!C39</f>
        <v>100000</v>
      </c>
      <c r="D14" s="388">
        <f>+'2.sz.mell.'!D39</f>
        <v>0</v>
      </c>
      <c r="E14" s="388">
        <f>+'2.sz.mell.'!E39</f>
        <v>0</v>
      </c>
      <c r="F14" s="388">
        <f>+'2.sz.mell.'!F39</f>
        <v>0</v>
      </c>
      <c r="G14" s="388">
        <f>+'2.sz.mell.'!G39</f>
        <v>0</v>
      </c>
    </row>
    <row r="15" spans="2:12" ht="15" customHeight="1">
      <c r="B15" s="236" t="s">
        <v>203</v>
      </c>
      <c r="C15" s="388">
        <v>0</v>
      </c>
      <c r="D15" s="388">
        <v>0</v>
      </c>
      <c r="E15" s="388">
        <v>0</v>
      </c>
      <c r="F15" s="388">
        <v>0</v>
      </c>
      <c r="G15" s="388">
        <v>0</v>
      </c>
    </row>
    <row r="16" spans="2:12">
      <c r="B16" s="237" t="s">
        <v>204</v>
      </c>
      <c r="C16" s="388">
        <f t="shared" ref="C16:G16" si="0">SUM(C10:C15)</f>
        <v>84745000</v>
      </c>
      <c r="D16" s="388">
        <f t="shared" si="0"/>
        <v>56000000</v>
      </c>
      <c r="E16" s="388">
        <f t="shared" si="0"/>
        <v>56000000</v>
      </c>
      <c r="F16" s="388">
        <f t="shared" si="0"/>
        <v>51000000</v>
      </c>
      <c r="G16" s="388">
        <f t="shared" si="0"/>
        <v>51000000</v>
      </c>
    </row>
    <row r="17" spans="2:7">
      <c r="B17" s="236"/>
      <c r="C17" s="388"/>
      <c r="D17" s="388"/>
      <c r="E17" s="388"/>
      <c r="F17" s="388"/>
      <c r="G17" s="388"/>
    </row>
    <row r="18" spans="2:7">
      <c r="B18" s="234"/>
      <c r="C18" s="388"/>
      <c r="D18" s="388"/>
      <c r="E18" s="388"/>
      <c r="F18" s="388"/>
      <c r="G18" s="388"/>
    </row>
    <row r="19" spans="2:7">
      <c r="B19" s="235" t="s">
        <v>205</v>
      </c>
      <c r="C19" s="388"/>
      <c r="D19" s="388"/>
      <c r="E19" s="388"/>
      <c r="F19" s="388"/>
      <c r="G19" s="388"/>
    </row>
    <row r="20" spans="2:7">
      <c r="B20" s="236" t="s">
        <v>206</v>
      </c>
      <c r="C20" s="388">
        <v>0</v>
      </c>
      <c r="D20" s="388">
        <v>0</v>
      </c>
      <c r="E20" s="388">
        <v>0</v>
      </c>
      <c r="F20" s="388">
        <v>0</v>
      </c>
      <c r="G20" s="388">
        <v>0</v>
      </c>
    </row>
    <row r="21" spans="2:7">
      <c r="B21" s="236" t="s">
        <v>207</v>
      </c>
      <c r="C21" s="388">
        <v>0</v>
      </c>
      <c r="D21" s="388">
        <v>0</v>
      </c>
      <c r="E21" s="388">
        <v>0</v>
      </c>
      <c r="F21" s="388">
        <v>0</v>
      </c>
      <c r="G21" s="388">
        <v>0</v>
      </c>
    </row>
    <row r="22" spans="2:7">
      <c r="B22" s="236" t="s">
        <v>208</v>
      </c>
      <c r="C22" s="388">
        <v>0</v>
      </c>
      <c r="D22" s="388">
        <v>0</v>
      </c>
      <c r="E22" s="388">
        <v>0</v>
      </c>
      <c r="F22" s="388">
        <v>0</v>
      </c>
      <c r="G22" s="388">
        <v>0</v>
      </c>
    </row>
    <row r="23" spans="2:7">
      <c r="B23" s="236" t="s">
        <v>209</v>
      </c>
      <c r="C23" s="388">
        <f>+'14.sz.mell.'!B13</f>
        <v>1331122</v>
      </c>
      <c r="D23" s="388">
        <f>+'14.sz.mell.'!C13</f>
        <v>749866</v>
      </c>
      <c r="E23" s="388">
        <f>+'14.sz.mell.'!D13</f>
        <v>749865.27</v>
      </c>
      <c r="F23" s="388">
        <f>+'14.sz.mell.'!E13</f>
        <v>312447</v>
      </c>
      <c r="G23" s="388">
        <v>0</v>
      </c>
    </row>
    <row r="24" spans="2:7" ht="30.75" customHeight="1">
      <c r="B24" s="236" t="s">
        <v>210</v>
      </c>
      <c r="C24" s="389">
        <v>0</v>
      </c>
      <c r="D24" s="389">
        <v>0</v>
      </c>
      <c r="E24" s="389">
        <v>0</v>
      </c>
      <c r="F24" s="389">
        <v>0</v>
      </c>
      <c r="G24" s="389">
        <v>0</v>
      </c>
    </row>
    <row r="25" spans="2:7" ht="30">
      <c r="B25" s="236" t="s">
        <v>211</v>
      </c>
      <c r="C25" s="389">
        <v>0</v>
      </c>
      <c r="D25" s="389">
        <v>0</v>
      </c>
      <c r="E25" s="389">
        <v>0</v>
      </c>
      <c r="F25" s="389">
        <v>0</v>
      </c>
      <c r="G25" s="389">
        <v>0</v>
      </c>
    </row>
    <row r="26" spans="2:7" ht="18.75" customHeight="1">
      <c r="B26" s="236" t="s">
        <v>212</v>
      </c>
      <c r="C26" s="388">
        <f>+'13.sz.mell'!B10</f>
        <v>1900000</v>
      </c>
      <c r="D26" s="388">
        <f>+'13.sz.mell'!B10</f>
        <v>1900000</v>
      </c>
      <c r="E26" s="388">
        <f>+'13.sz.mell'!C10</f>
        <v>1850000</v>
      </c>
      <c r="F26" s="388">
        <f>+'13.sz.mell'!D10</f>
        <v>1800000</v>
      </c>
      <c r="G26" s="388">
        <f>+'13.sz.mell'!E10</f>
        <v>1750000</v>
      </c>
    </row>
    <row r="27" spans="2:7">
      <c r="B27" s="237" t="s">
        <v>204</v>
      </c>
      <c r="C27" s="388">
        <f t="shared" ref="C27:G27" si="1">SUM(C20:C26)</f>
        <v>3231122</v>
      </c>
      <c r="D27" s="388">
        <f t="shared" si="1"/>
        <v>2649866</v>
      </c>
      <c r="E27" s="388">
        <f t="shared" si="1"/>
        <v>2599865.27</v>
      </c>
      <c r="F27" s="388">
        <f t="shared" si="1"/>
        <v>2112447</v>
      </c>
      <c r="G27" s="388">
        <f t="shared" si="1"/>
        <v>1750000</v>
      </c>
    </row>
  </sheetData>
  <mergeCells count="3">
    <mergeCell ref="B1:H1"/>
    <mergeCell ref="B4:H4"/>
    <mergeCell ref="B3:H3"/>
  </mergeCells>
  <phoneticPr fontId="0" type="noConversion"/>
  <pageMargins left="0.75" right="0.75" top="1" bottom="1" header="0.5" footer="0.5"/>
  <pageSetup paperSize="9" scale="68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9" tint="-0.249977111117893"/>
  </sheetPr>
  <dimension ref="A1:P47"/>
  <sheetViews>
    <sheetView view="pageBreakPreview" zoomScale="140" zoomScaleNormal="140" zoomScaleSheetLayoutView="140" workbookViewId="0">
      <selection activeCell="G24" sqref="G24"/>
    </sheetView>
  </sheetViews>
  <sheetFormatPr defaultRowHeight="15.75"/>
  <cols>
    <col min="1" max="1" width="1" style="2" customWidth="1"/>
    <col min="2" max="2" width="42.5703125" style="2" customWidth="1"/>
    <col min="3" max="3" width="13.5703125" style="2" customWidth="1"/>
    <col min="4" max="4" width="14.7109375" style="2" customWidth="1"/>
    <col min="5" max="5" width="13" style="2" customWidth="1"/>
    <col min="6" max="16384" width="9.140625" style="2"/>
  </cols>
  <sheetData>
    <row r="1" spans="1:16" ht="22.5" customHeight="1">
      <c r="A1" s="635" t="s">
        <v>600</v>
      </c>
      <c r="B1" s="635"/>
      <c r="C1" s="635"/>
      <c r="D1" s="635"/>
      <c r="E1" s="1"/>
      <c r="F1" s="1"/>
    </row>
    <row r="2" spans="1:16">
      <c r="B2" s="3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</row>
    <row r="3" spans="1:16" ht="32.25" customHeight="1">
      <c r="A3" s="653" t="s">
        <v>546</v>
      </c>
      <c r="B3" s="653"/>
      <c r="C3" s="653"/>
      <c r="D3" s="653"/>
      <c r="E3" s="283"/>
      <c r="F3" s="222"/>
    </row>
    <row r="4" spans="1:16">
      <c r="B4" s="651"/>
      <c r="C4" s="651"/>
      <c r="D4" s="651"/>
    </row>
    <row r="5" spans="1:16">
      <c r="C5" s="652"/>
      <c r="D5" s="652"/>
    </row>
    <row r="6" spans="1:16" s="4" customFormat="1" ht="21" customHeight="1">
      <c r="B6" s="650" t="s">
        <v>0</v>
      </c>
      <c r="C6" s="650"/>
      <c r="D6" s="650"/>
      <c r="E6" s="650"/>
      <c r="F6" s="5"/>
    </row>
    <row r="7" spans="1:16" s="4" customFormat="1" ht="42" customHeight="1" thickBot="1">
      <c r="B7" s="279" t="s">
        <v>1</v>
      </c>
      <c r="C7" s="280" t="s">
        <v>350</v>
      </c>
      <c r="D7" s="280" t="s">
        <v>544</v>
      </c>
      <c r="E7" s="280" t="s">
        <v>545</v>
      </c>
    </row>
    <row r="8" spans="1:16" s="5" customFormat="1" ht="15" customHeight="1">
      <c r="B8" s="6" t="s">
        <v>2</v>
      </c>
      <c r="C8" s="291">
        <v>51891000</v>
      </c>
      <c r="D8" s="291">
        <v>55885000</v>
      </c>
      <c r="E8" s="291">
        <f>+'2.sz.mell.'!C55</f>
        <v>55450000</v>
      </c>
    </row>
    <row r="9" spans="1:16" s="5" customFormat="1" ht="15" customHeight="1">
      <c r="B9" s="7" t="s">
        <v>323</v>
      </c>
      <c r="C9" s="292">
        <v>59270000</v>
      </c>
      <c r="D9" s="292">
        <v>59270000</v>
      </c>
      <c r="E9" s="292">
        <f>+'2.sz.mell.'!C43</f>
        <v>79270000</v>
      </c>
    </row>
    <row r="10" spans="1:16" s="5" customFormat="1" ht="15" customHeight="1">
      <c r="B10" s="8" t="s">
        <v>319</v>
      </c>
      <c r="C10" s="446">
        <f>268051083+318000</f>
        <v>268369083</v>
      </c>
      <c r="D10" s="446">
        <v>285025510</v>
      </c>
      <c r="E10" s="446">
        <f>+'2.sz.mell.'!C25+'2.sz.mell.'!C57</f>
        <v>268775970</v>
      </c>
    </row>
    <row r="11" spans="1:16" s="5" customFormat="1" ht="15" customHeight="1">
      <c r="B11" s="8" t="s">
        <v>324</v>
      </c>
      <c r="C11" s="446">
        <f>24579725</f>
        <v>24579725</v>
      </c>
      <c r="D11" s="446">
        <v>54625927</v>
      </c>
      <c r="E11" s="446">
        <f>+'2.sz.mell.'!C36</f>
        <v>95791880</v>
      </c>
    </row>
    <row r="12" spans="1:16" s="5" customFormat="1" ht="15" customHeight="1">
      <c r="B12" s="8" t="s">
        <v>3</v>
      </c>
      <c r="C12" s="293">
        <v>13848000</v>
      </c>
      <c r="D12" s="293">
        <v>14981900</v>
      </c>
      <c r="E12" s="293">
        <f>+'2.sz.mell.'!C26</f>
        <v>20354748</v>
      </c>
    </row>
    <row r="13" spans="1:16" s="5" customFormat="1" ht="15" customHeight="1">
      <c r="B13" s="9" t="s">
        <v>4</v>
      </c>
      <c r="C13" s="294">
        <v>81549342</v>
      </c>
      <c r="D13" s="294">
        <v>215097476</v>
      </c>
      <c r="E13" s="294">
        <f>+'2.sz.mell.'!C63-'3.sz.mell.'!E23</f>
        <v>108873310</v>
      </c>
      <c r="G13" s="5">
        <f>4999736+1835000+84924+2999999+14999998+8266429+45378440+4508070+24944510+8165656</f>
        <v>116182762</v>
      </c>
    </row>
    <row r="14" spans="1:16" s="5" customFormat="1" ht="15" customHeight="1">
      <c r="B14" s="16" t="s">
        <v>345</v>
      </c>
      <c r="C14" s="294">
        <v>0</v>
      </c>
      <c r="D14" s="294">
        <v>0</v>
      </c>
      <c r="E14" s="294">
        <v>0</v>
      </c>
    </row>
    <row r="15" spans="1:16" s="5" customFormat="1" ht="15" customHeight="1" thickBot="1">
      <c r="B15" s="9" t="s">
        <v>5</v>
      </c>
      <c r="C15" s="294">
        <v>0</v>
      </c>
      <c r="D15" s="294">
        <v>0</v>
      </c>
      <c r="E15" s="294">
        <v>0</v>
      </c>
    </row>
    <row r="16" spans="1:16" s="10" customFormat="1" ht="15" customHeight="1" thickBot="1">
      <c r="B16" s="11" t="s">
        <v>6</v>
      </c>
      <c r="C16" s="295">
        <f>C8+C9+C10+C11+C13+C15</f>
        <v>485659150</v>
      </c>
      <c r="D16" s="295">
        <f>D8+D9+D10+D11+D13+D15</f>
        <v>669903913</v>
      </c>
      <c r="E16" s="295">
        <f>E8+E9+E10+E11+E13+E15</f>
        <v>608161160</v>
      </c>
    </row>
    <row r="17" spans="2:5" s="5" customFormat="1" ht="15" customHeight="1">
      <c r="B17" s="12" t="s">
        <v>7</v>
      </c>
      <c r="C17" s="291">
        <v>0</v>
      </c>
      <c r="D17" s="291">
        <v>0</v>
      </c>
      <c r="E17" s="291">
        <v>0</v>
      </c>
    </row>
    <row r="18" spans="2:5" s="5" customFormat="1" ht="15" customHeight="1">
      <c r="B18" s="8" t="s">
        <v>8</v>
      </c>
      <c r="C18" s="292">
        <v>0</v>
      </c>
      <c r="D18" s="292">
        <v>0</v>
      </c>
      <c r="E18" s="292">
        <v>0</v>
      </c>
    </row>
    <row r="19" spans="2:5" s="5" customFormat="1" ht="15" customHeight="1">
      <c r="B19" s="8" t="s">
        <v>9</v>
      </c>
      <c r="C19" s="293"/>
      <c r="D19" s="293"/>
      <c r="E19" s="293"/>
    </row>
    <row r="20" spans="2:5" s="5" customFormat="1" ht="15" customHeight="1">
      <c r="B20" s="8" t="s">
        <v>10</v>
      </c>
      <c r="C20" s="293">
        <f>246525100+32758134</f>
        <v>279283234</v>
      </c>
      <c r="D20" s="293">
        <v>108818441</v>
      </c>
      <c r="E20" s="293">
        <f>+'2.sz.mell.'!C62</f>
        <v>5096029</v>
      </c>
    </row>
    <row r="21" spans="2:5" s="5" customFormat="1" ht="15" customHeight="1">
      <c r="B21" s="8" t="s">
        <v>11</v>
      </c>
      <c r="C21" s="293">
        <v>0</v>
      </c>
      <c r="D21" s="293">
        <v>0</v>
      </c>
      <c r="E21" s="293">
        <v>0</v>
      </c>
    </row>
    <row r="22" spans="2:5" s="5" customFormat="1" ht="15" customHeight="1">
      <c r="B22" s="8" t="s">
        <v>12</v>
      </c>
      <c r="C22" s="293">
        <v>0</v>
      </c>
      <c r="D22" s="293">
        <v>0</v>
      </c>
      <c r="E22" s="293">
        <v>0</v>
      </c>
    </row>
    <row r="23" spans="2:5" s="5" customFormat="1" ht="15" customHeight="1" thickBot="1">
      <c r="B23" s="9" t="s">
        <v>13</v>
      </c>
      <c r="C23" s="294">
        <v>83953371</v>
      </c>
      <c r="D23" s="294">
        <v>201851422</v>
      </c>
      <c r="E23" s="294">
        <v>116182762</v>
      </c>
    </row>
    <row r="24" spans="2:5" s="10" customFormat="1" ht="15" customHeight="1" thickBot="1">
      <c r="B24" s="11" t="s">
        <v>14</v>
      </c>
      <c r="C24" s="295">
        <f>SUM(C17:C23)</f>
        <v>363236605</v>
      </c>
      <c r="D24" s="295">
        <f>SUM(D17:D23)</f>
        <v>310669863</v>
      </c>
      <c r="E24" s="295">
        <f>SUM(E17:E23)</f>
        <v>121278791</v>
      </c>
    </row>
    <row r="25" spans="2:5" s="10" customFormat="1" ht="15" customHeight="1" thickBot="1">
      <c r="B25" s="13" t="s">
        <v>15</v>
      </c>
      <c r="C25" s="296">
        <f>+C24+C16</f>
        <v>848895755</v>
      </c>
      <c r="D25" s="296">
        <f>+D24+D16</f>
        <v>980573776</v>
      </c>
      <c r="E25" s="296">
        <f>+E24+E16</f>
        <v>729439951</v>
      </c>
    </row>
    <row r="26" spans="2:5" s="10" customFormat="1" ht="15" customHeight="1">
      <c r="B26" s="277"/>
      <c r="C26" s="278"/>
      <c r="D26" s="278"/>
    </row>
    <row r="27" spans="2:5" s="4" customFormat="1" ht="15" customHeight="1"/>
    <row r="28" spans="2:5" s="4" customFormat="1" ht="15" customHeight="1">
      <c r="C28" s="652"/>
      <c r="D28" s="652"/>
    </row>
    <row r="29" spans="2:5" s="4" customFormat="1" ht="21" customHeight="1">
      <c r="B29" s="650" t="s">
        <v>16</v>
      </c>
      <c r="C29" s="650"/>
      <c r="D29" s="650"/>
      <c r="E29" s="650"/>
    </row>
    <row r="30" spans="2:5" s="4" customFormat="1" ht="39" thickBot="1">
      <c r="B30" s="279" t="s">
        <v>1</v>
      </c>
      <c r="C30" s="280" t="s">
        <v>350</v>
      </c>
      <c r="D30" s="280" t="s">
        <v>544</v>
      </c>
      <c r="E30" s="280" t="s">
        <v>545</v>
      </c>
    </row>
    <row r="31" spans="2:5" s="4" customFormat="1" ht="15" customHeight="1">
      <c r="B31" s="14" t="s">
        <v>17</v>
      </c>
      <c r="C31" s="297">
        <v>172604200</v>
      </c>
      <c r="D31" s="297">
        <v>212285909</v>
      </c>
      <c r="E31" s="297">
        <f>+'5.a sz.mell.'!D63</f>
        <v>222999810</v>
      </c>
    </row>
    <row r="32" spans="2:5" s="4" customFormat="1" ht="15" customHeight="1">
      <c r="B32" s="15" t="s">
        <v>18</v>
      </c>
      <c r="C32" s="298">
        <v>32695500</v>
      </c>
      <c r="D32" s="298">
        <v>39599062</v>
      </c>
      <c r="E32" s="298">
        <f>+'5.a sz.mell.'!E63</f>
        <v>37774837</v>
      </c>
    </row>
    <row r="33" spans="2:5" s="4" customFormat="1" ht="15" customHeight="1">
      <c r="B33" s="15" t="s">
        <v>19</v>
      </c>
      <c r="C33" s="298">
        <v>135629000</v>
      </c>
      <c r="D33" s="298">
        <v>243566668</v>
      </c>
      <c r="E33" s="298">
        <f>+'5.a sz.mell.'!F63</f>
        <v>200426841</v>
      </c>
    </row>
    <row r="34" spans="2:5" s="4" customFormat="1" ht="15" customHeight="1">
      <c r="B34" s="15" t="s">
        <v>20</v>
      </c>
      <c r="C34" s="298">
        <f>72104709+2880000</f>
        <v>74984709</v>
      </c>
      <c r="D34" s="298">
        <v>84567133</v>
      </c>
      <c r="E34" s="298">
        <f>+'2.sz.mell.'!C79+'2.sz.mell.'!C80</f>
        <v>95627898</v>
      </c>
    </row>
    <row r="35" spans="2:5" s="4" customFormat="1" ht="15" customHeight="1">
      <c r="B35" s="16" t="s">
        <v>321</v>
      </c>
      <c r="C35" s="298">
        <v>3781000</v>
      </c>
      <c r="D35" s="298">
        <v>4767000</v>
      </c>
      <c r="E35" s="298">
        <f>+'5.a sz.mell.'!H63</f>
        <v>3147000</v>
      </c>
    </row>
    <row r="36" spans="2:5" s="4" customFormat="1" ht="15" customHeight="1">
      <c r="B36" s="16" t="s">
        <v>460</v>
      </c>
      <c r="C36" s="299">
        <v>0</v>
      </c>
      <c r="D36" s="299">
        <v>0</v>
      </c>
      <c r="E36" s="299">
        <f>+'2.sz.mell.'!C76</f>
        <v>0</v>
      </c>
    </row>
    <row r="37" spans="2:5" s="4" customFormat="1" ht="15" customHeight="1">
      <c r="B37" s="16" t="s">
        <v>322</v>
      </c>
      <c r="C37" s="299">
        <v>9649634</v>
      </c>
      <c r="D37" s="299">
        <v>10420711</v>
      </c>
      <c r="E37" s="299">
        <f>+'5.a sz.mell.'!J63</f>
        <v>10751039</v>
      </c>
    </row>
    <row r="38" spans="2:5" s="4" customFormat="1" ht="15" customHeight="1">
      <c r="B38" s="16" t="s">
        <v>461</v>
      </c>
      <c r="C38" s="299">
        <v>0</v>
      </c>
      <c r="D38" s="299">
        <v>1643568</v>
      </c>
      <c r="E38" s="299">
        <f>+'2.sz.mell.'!C78</f>
        <v>0</v>
      </c>
    </row>
    <row r="39" spans="2:5" s="4" customFormat="1" ht="15" customHeight="1">
      <c r="B39" s="16" t="s">
        <v>21</v>
      </c>
      <c r="C39" s="299">
        <v>1415952</v>
      </c>
      <c r="D39" s="299">
        <v>0</v>
      </c>
      <c r="E39" s="299">
        <f>+'2.sz.mell.'!C82</f>
        <v>0</v>
      </c>
    </row>
    <row r="40" spans="2:5" s="4" customFormat="1" ht="15" customHeight="1" thickBot="1">
      <c r="B40" s="16" t="s">
        <v>22</v>
      </c>
      <c r="C40" s="300">
        <v>90687347</v>
      </c>
      <c r="D40" s="300">
        <v>107151973</v>
      </c>
      <c r="E40" s="300">
        <f>+'2.sz.mell.'!C83</f>
        <v>98896424</v>
      </c>
    </row>
    <row r="41" spans="2:5" s="4" customFormat="1" ht="15" customHeight="1" thickBot="1">
      <c r="B41" s="17" t="s">
        <v>23</v>
      </c>
      <c r="C41" s="301">
        <f>SUM(C31:C40)</f>
        <v>521447342</v>
      </c>
      <c r="D41" s="301">
        <f>SUM(D31:D40)</f>
        <v>704002024</v>
      </c>
      <c r="E41" s="301">
        <f>SUM(E31:E40)</f>
        <v>669623849</v>
      </c>
    </row>
    <row r="42" spans="2:5" s="4" customFormat="1" ht="15" customHeight="1">
      <c r="B42" s="14" t="s">
        <v>24</v>
      </c>
      <c r="C42" s="297">
        <v>50435066</v>
      </c>
      <c r="D42" s="297">
        <v>42859926</v>
      </c>
      <c r="E42" s="297">
        <f>+'5.a sz.mell.'!M63</f>
        <v>46420058</v>
      </c>
    </row>
    <row r="43" spans="2:5" s="4" customFormat="1" ht="15" customHeight="1">
      <c r="B43" s="15" t="s">
        <v>302</v>
      </c>
      <c r="C43" s="298">
        <v>277013347</v>
      </c>
      <c r="D43" s="298">
        <v>233711826</v>
      </c>
      <c r="E43" s="298">
        <f>+'5.a sz.mell.'!L63</f>
        <v>13396044</v>
      </c>
    </row>
    <row r="44" spans="2:5" s="4" customFormat="1" ht="15" customHeight="1" thickBot="1">
      <c r="B44" s="16" t="s">
        <v>301</v>
      </c>
      <c r="C44" s="299">
        <v>0</v>
      </c>
      <c r="D44" s="299">
        <v>0</v>
      </c>
      <c r="E44" s="299">
        <v>0</v>
      </c>
    </row>
    <row r="45" spans="2:5" s="4" customFormat="1" ht="15" customHeight="1" thickBot="1">
      <c r="B45" s="17" t="s">
        <v>25</v>
      </c>
      <c r="C45" s="301">
        <f>SUM(C42:C44)</f>
        <v>327448413</v>
      </c>
      <c r="D45" s="301">
        <f>SUM(D42:D44)</f>
        <v>276571752</v>
      </c>
      <c r="E45" s="301">
        <f>SUM(E42:E44)</f>
        <v>59816102</v>
      </c>
    </row>
    <row r="46" spans="2:5" s="19" customFormat="1" ht="18.75" customHeight="1" thickBot="1">
      <c r="B46" s="18" t="s">
        <v>26</v>
      </c>
      <c r="C46" s="302">
        <f>SUM(C41,C45)</f>
        <v>848895755</v>
      </c>
      <c r="D46" s="302">
        <f>SUM(D41,D45)</f>
        <v>980573776</v>
      </c>
      <c r="E46" s="302">
        <f>SUM(E41,E45)</f>
        <v>729439951</v>
      </c>
    </row>
    <row r="47" spans="2:5">
      <c r="E47" s="514"/>
    </row>
  </sheetData>
  <mergeCells count="7">
    <mergeCell ref="B29:E29"/>
    <mergeCell ref="B6:E6"/>
    <mergeCell ref="A1:D1"/>
    <mergeCell ref="B4:D4"/>
    <mergeCell ref="C5:D5"/>
    <mergeCell ref="C28:D28"/>
    <mergeCell ref="A3:D3"/>
  </mergeCells>
  <phoneticPr fontId="0" type="noConversion"/>
  <pageMargins left="0.75" right="0.75" top="1" bottom="1" header="0.5" footer="0.5"/>
  <pageSetup paperSize="9" scale="87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9" tint="-0.249977111117893"/>
    <pageSetUpPr fitToPage="1"/>
  </sheetPr>
  <dimension ref="A1:AS28"/>
  <sheetViews>
    <sheetView view="pageBreakPreview" zoomScaleNormal="100" zoomScaleSheetLayoutView="100" workbookViewId="0">
      <selection activeCell="H3" sqref="H3"/>
    </sheetView>
  </sheetViews>
  <sheetFormatPr defaultRowHeight="15"/>
  <cols>
    <col min="1" max="1" width="4.140625" style="34" bestFit="1" customWidth="1"/>
    <col min="2" max="2" width="40" style="34" customWidth="1"/>
    <col min="3" max="12" width="17.7109375" style="27" customWidth="1"/>
    <col min="13" max="13" width="12.42578125" style="27" bestFit="1" customWidth="1"/>
    <col min="14" max="14" width="14" style="27" bestFit="1" customWidth="1"/>
    <col min="15" max="15" width="10.85546875" style="27" bestFit="1" customWidth="1"/>
    <col min="16" max="16" width="14" style="27" bestFit="1" customWidth="1"/>
    <col min="17" max="17" width="10.85546875" style="27" bestFit="1" customWidth="1"/>
    <col min="18" max="18" width="13.140625" style="27" bestFit="1" customWidth="1"/>
    <col min="19" max="19" width="16.42578125" style="27" customWidth="1"/>
    <col min="20" max="20" width="14.85546875" style="27" customWidth="1"/>
    <col min="21" max="21" width="13.140625" style="27" customWidth="1"/>
    <col min="22" max="22" width="12.28515625" style="27" customWidth="1"/>
    <col min="23" max="23" width="8.42578125" style="27" bestFit="1" customWidth="1"/>
    <col min="24" max="25" width="8.42578125" style="27" customWidth="1"/>
    <col min="26" max="26" width="8.85546875" style="27" bestFit="1" customWidth="1"/>
    <col min="27" max="28" width="8.42578125" style="27" customWidth="1"/>
    <col min="29" max="29" width="8.85546875" style="27" bestFit="1" customWidth="1"/>
    <col min="30" max="31" width="8.42578125" style="27" customWidth="1"/>
    <col min="32" max="32" width="8.42578125" style="27" bestFit="1" customWidth="1"/>
    <col min="33" max="34" width="8.42578125" style="27" customWidth="1"/>
    <col min="35" max="35" width="8.42578125" style="27" bestFit="1" customWidth="1"/>
    <col min="36" max="37" width="8.42578125" style="27" customWidth="1"/>
    <col min="38" max="38" width="8.85546875" style="27" bestFit="1" customWidth="1"/>
    <col min="39" max="16384" width="9.140625" style="21"/>
  </cols>
  <sheetData>
    <row r="1" spans="1:45" ht="15" customHeight="1">
      <c r="A1" s="635" t="s">
        <v>601</v>
      </c>
      <c r="B1" s="635"/>
      <c r="C1" s="635"/>
      <c r="D1" s="635"/>
      <c r="E1" s="635"/>
      <c r="F1" s="635"/>
      <c r="G1" s="635"/>
      <c r="H1" s="635"/>
      <c r="I1" s="635"/>
      <c r="J1" s="635"/>
      <c r="K1" s="635"/>
      <c r="L1" s="635"/>
      <c r="M1" s="635"/>
      <c r="N1" s="635"/>
      <c r="O1" s="635"/>
      <c r="P1" s="659"/>
      <c r="Q1" s="35"/>
      <c r="R1" s="35"/>
      <c r="S1" s="35"/>
      <c r="T1" s="35"/>
      <c r="U1" s="35"/>
      <c r="V1" s="35"/>
      <c r="W1" s="35"/>
      <c r="X1" s="35"/>
      <c r="Y1" s="35"/>
      <c r="Z1" s="35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20"/>
      <c r="AL1" s="20"/>
    </row>
    <row r="2" spans="1:45" ht="30.75" customHeight="1">
      <c r="A2" s="660" t="s">
        <v>547</v>
      </c>
      <c r="B2" s="660"/>
      <c r="C2" s="660"/>
      <c r="D2" s="660"/>
      <c r="E2" s="660"/>
      <c r="F2" s="660"/>
      <c r="G2" s="660"/>
      <c r="H2" s="660"/>
      <c r="I2" s="660"/>
      <c r="J2" s="660"/>
      <c r="K2" s="660"/>
      <c r="L2" s="660"/>
      <c r="M2" s="660"/>
      <c r="N2" s="660"/>
      <c r="O2" s="660"/>
      <c r="P2" s="660"/>
      <c r="Q2" s="132"/>
      <c r="R2" s="132"/>
      <c r="S2" s="132"/>
      <c r="T2" s="22"/>
      <c r="U2" s="22"/>
      <c r="V2" s="22"/>
      <c r="W2" s="22"/>
      <c r="X2" s="22"/>
      <c r="Y2" s="22"/>
      <c r="Z2" s="22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</row>
    <row r="3" spans="1:45" ht="15.75" thickBot="1">
      <c r="A3" s="24"/>
      <c r="B3" s="25"/>
      <c r="C3" s="26"/>
      <c r="D3" s="26"/>
      <c r="E3" s="26"/>
      <c r="F3" s="26"/>
      <c r="G3" s="26"/>
      <c r="H3" s="26"/>
      <c r="I3" s="26"/>
      <c r="J3" s="284" t="s">
        <v>320</v>
      </c>
      <c r="K3" s="26"/>
      <c r="L3" s="26"/>
      <c r="M3" s="26"/>
      <c r="O3" s="26"/>
      <c r="P3" s="26"/>
      <c r="R3" s="26"/>
      <c r="S3" s="26"/>
      <c r="T3" s="26"/>
      <c r="U3" s="26"/>
      <c r="V3" s="26"/>
      <c r="W3" s="26"/>
      <c r="X3" s="26"/>
      <c r="AM3" s="27"/>
      <c r="AN3" s="27"/>
      <c r="AO3" s="27"/>
      <c r="AP3" s="27"/>
      <c r="AQ3" s="27"/>
    </row>
    <row r="4" spans="1:45" ht="24.6" customHeight="1" thickBot="1">
      <c r="A4" s="662" t="s">
        <v>27</v>
      </c>
      <c r="B4" s="663"/>
      <c r="C4" s="663"/>
      <c r="D4" s="663"/>
      <c r="E4" s="663"/>
      <c r="F4" s="663"/>
      <c r="G4" s="663"/>
      <c r="H4" s="663"/>
      <c r="I4" s="663"/>
      <c r="J4" s="663"/>
      <c r="O4" s="303"/>
      <c r="U4" s="28"/>
      <c r="V4" s="28"/>
      <c r="W4" s="28"/>
      <c r="X4" s="28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3"/>
      <c r="AS4" s="23"/>
    </row>
    <row r="5" spans="1:45" ht="103.15" customHeight="1" thickBot="1">
      <c r="A5" s="661" t="s">
        <v>29</v>
      </c>
      <c r="B5" s="661"/>
      <c r="C5" s="560" t="s">
        <v>30</v>
      </c>
      <c r="D5" s="560" t="s">
        <v>31</v>
      </c>
      <c r="E5" s="560" t="s">
        <v>32</v>
      </c>
      <c r="F5" s="560" t="s">
        <v>462</v>
      </c>
      <c r="G5" s="561" t="s">
        <v>240</v>
      </c>
      <c r="H5" s="560" t="s">
        <v>221</v>
      </c>
      <c r="I5" s="560" t="s">
        <v>376</v>
      </c>
      <c r="J5" s="562" t="s">
        <v>464</v>
      </c>
      <c r="Q5" s="29"/>
      <c r="R5" s="29"/>
      <c r="S5" s="29"/>
      <c r="T5" s="29"/>
      <c r="U5" s="29"/>
      <c r="V5" s="29"/>
      <c r="W5" s="29"/>
      <c r="X5" s="29"/>
      <c r="Y5" s="29"/>
      <c r="Z5" s="657"/>
      <c r="AA5" s="657"/>
      <c r="AB5" s="657"/>
      <c r="AC5" s="30"/>
      <c r="AD5" s="30"/>
      <c r="AE5" s="30"/>
      <c r="AF5" s="21"/>
      <c r="AG5" s="21"/>
      <c r="AH5" s="21"/>
      <c r="AI5" s="21"/>
      <c r="AJ5" s="21"/>
      <c r="AK5" s="21"/>
      <c r="AL5" s="21"/>
    </row>
    <row r="6" spans="1:45" ht="36" customHeight="1" thickBot="1">
      <c r="A6" s="226" t="s">
        <v>36</v>
      </c>
      <c r="B6" s="227"/>
      <c r="C6" s="564" t="s">
        <v>37</v>
      </c>
      <c r="D6" s="564" t="s">
        <v>37</v>
      </c>
      <c r="E6" s="564" t="s">
        <v>37</v>
      </c>
      <c r="F6" s="564" t="s">
        <v>37</v>
      </c>
      <c r="G6" s="564" t="s">
        <v>37</v>
      </c>
      <c r="H6" s="564" t="s">
        <v>37</v>
      </c>
      <c r="I6" s="564" t="s">
        <v>37</v>
      </c>
      <c r="J6" s="564" t="s">
        <v>37</v>
      </c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1"/>
      <c r="AE6" s="21"/>
      <c r="AF6" s="21"/>
      <c r="AG6" s="21"/>
      <c r="AH6" s="21"/>
      <c r="AI6" s="21"/>
      <c r="AJ6" s="21"/>
      <c r="AK6" s="21"/>
      <c r="AL6" s="21"/>
    </row>
    <row r="7" spans="1:45" s="478" customFormat="1" ht="30" customHeight="1" thickBot="1">
      <c r="A7" s="462" t="s">
        <v>38</v>
      </c>
      <c r="B7" s="477" t="s">
        <v>191</v>
      </c>
      <c r="C7" s="461">
        <f>+'5 b.sz.mell.'!D38</f>
        <v>30970000</v>
      </c>
      <c r="D7" s="461">
        <f>+'5 b.sz.mell.'!I38</f>
        <v>79200000</v>
      </c>
      <c r="E7" s="461">
        <f>+'5 b.sz.mell.'!E38</f>
        <v>357804551</v>
      </c>
      <c r="F7" s="463">
        <v>0</v>
      </c>
      <c r="G7" s="480">
        <f>+'5 b.sz.mell.'!H38</f>
        <v>0</v>
      </c>
      <c r="H7" s="461">
        <f>+'5 b.sz.mell.'!G38</f>
        <v>222081812</v>
      </c>
      <c r="I7" s="475">
        <f>+C7+D7+E7+F7+G7+H7</f>
        <v>690056363</v>
      </c>
      <c r="J7" s="486">
        <f>+I7-G7</f>
        <v>690056363</v>
      </c>
      <c r="K7" s="27"/>
      <c r="L7" s="27"/>
      <c r="M7" s="27"/>
      <c r="N7" s="27"/>
      <c r="O7" s="27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31"/>
      <c r="AB7" s="31"/>
      <c r="AC7" s="31"/>
    </row>
    <row r="8" spans="1:45" s="478" customFormat="1" ht="30" customHeight="1" thickBot="1">
      <c r="A8" s="462" t="s">
        <v>39</v>
      </c>
      <c r="B8" s="477" t="s">
        <v>40</v>
      </c>
      <c r="C8" s="461">
        <f>+'5 b.sz.mell.'!D43</f>
        <v>1100000</v>
      </c>
      <c r="D8" s="461">
        <f>+'5 b.sz.mell.'!I43</f>
        <v>70000</v>
      </c>
      <c r="E8" s="461">
        <f>+'5 b.sz.mell.'!E43</f>
        <v>1938774</v>
      </c>
      <c r="F8" s="463">
        <v>0</v>
      </c>
      <c r="G8" s="480">
        <f>+'5 b.sz.mell.'!H43</f>
        <v>98457518</v>
      </c>
      <c r="H8" s="461">
        <f>+'5 b.sz.mell.'!G43</f>
        <v>1129708</v>
      </c>
      <c r="I8" s="475">
        <f>+C8+D8+E8+F8+G8+H8</f>
        <v>102696000</v>
      </c>
      <c r="J8" s="486">
        <f>+I8-G8</f>
        <v>4238482</v>
      </c>
      <c r="K8" s="27"/>
      <c r="L8" s="27"/>
      <c r="M8" s="27"/>
      <c r="N8" s="27"/>
      <c r="O8" s="27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31"/>
      <c r="AB8" s="31"/>
      <c r="AC8" s="31"/>
    </row>
    <row r="9" spans="1:45" s="478" customFormat="1" ht="30" customHeight="1" thickBot="1">
      <c r="A9" s="462" t="s">
        <v>41</v>
      </c>
      <c r="B9" s="477" t="s">
        <v>217</v>
      </c>
      <c r="C9" s="461">
        <f>+'5 b.sz.mell.'!D46</f>
        <v>150000</v>
      </c>
      <c r="D9" s="461">
        <f>+'5 b.sz.mell.'!I46</f>
        <v>0</v>
      </c>
      <c r="E9" s="461">
        <f>+'5 b.sz.mell.'!E46</f>
        <v>0</v>
      </c>
      <c r="F9" s="463">
        <v>0</v>
      </c>
      <c r="G9" s="480">
        <f>+'5 b.sz.mell.'!H46</f>
        <v>16645148</v>
      </c>
      <c r="H9" s="461">
        <f>+'5 b.sz.mell.'!G46</f>
        <v>146107</v>
      </c>
      <c r="I9" s="475">
        <f>+C9+D9+E9+F9+G9+H9</f>
        <v>16941255</v>
      </c>
      <c r="J9" s="486">
        <f>+I9-G9</f>
        <v>296107</v>
      </c>
      <c r="K9" s="27"/>
      <c r="L9" s="27"/>
      <c r="M9" s="27"/>
      <c r="N9" s="27"/>
      <c r="O9" s="27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1"/>
      <c r="AB9" s="31"/>
      <c r="AC9" s="31"/>
    </row>
    <row r="10" spans="1:45" s="478" customFormat="1" ht="30" customHeight="1" thickBot="1">
      <c r="A10" s="462" t="s">
        <v>43</v>
      </c>
      <c r="B10" s="477" t="s">
        <v>218</v>
      </c>
      <c r="C10" s="461">
        <f>+'5 b.sz.mell.'!D50</f>
        <v>110000</v>
      </c>
      <c r="D10" s="461">
        <f>+'5 b.sz.mell.'!I50</f>
        <v>0</v>
      </c>
      <c r="E10" s="461">
        <f>+'5 b.sz.mell.'!E50</f>
        <v>2800000</v>
      </c>
      <c r="F10" s="463">
        <v>0</v>
      </c>
      <c r="G10" s="480">
        <f>+'5 b.sz.mell.'!H50</f>
        <v>3562176</v>
      </c>
      <c r="H10" s="461">
        <f>+'5 b.sz.mell.'!G50</f>
        <v>300944</v>
      </c>
      <c r="I10" s="475">
        <f>+C10+D10+E10+F10+G10+H10</f>
        <v>6773120</v>
      </c>
      <c r="J10" s="486">
        <f>+I10-G10</f>
        <v>3210944</v>
      </c>
      <c r="K10" s="27"/>
      <c r="L10" s="27"/>
      <c r="M10" s="27"/>
      <c r="N10" s="27"/>
      <c r="O10" s="27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1"/>
      <c r="AB10" s="31"/>
      <c r="AC10" s="31"/>
    </row>
    <row r="11" spans="1:45" s="478" customFormat="1" ht="30" customHeight="1" thickBot="1">
      <c r="A11" s="462" t="s">
        <v>213</v>
      </c>
      <c r="B11" s="479" t="s">
        <v>222</v>
      </c>
      <c r="C11" s="461">
        <f>+'5 b.sz.mell.'!D60</f>
        <v>23120000</v>
      </c>
      <c r="D11" s="461">
        <f>+'5 b.sz.mell.'!I60</f>
        <v>0</v>
      </c>
      <c r="E11" s="461">
        <f>+'5 b.sz.mell.'!E60</f>
        <v>2024525</v>
      </c>
      <c r="F11" s="463">
        <v>0</v>
      </c>
      <c r="G11" s="480">
        <f>+'5 b.sz.mell.'!H60</f>
        <v>100562722</v>
      </c>
      <c r="H11" s="461">
        <f>+'5 b.sz.mell.'!G60</f>
        <v>1397501</v>
      </c>
      <c r="I11" s="475">
        <f>+C11+D11+E11+F11+G11+H11</f>
        <v>127104748</v>
      </c>
      <c r="J11" s="486">
        <f>+I11-G11</f>
        <v>26542026</v>
      </c>
      <c r="K11" s="27"/>
      <c r="L11" s="27"/>
      <c r="M11" s="27"/>
      <c r="N11" s="27"/>
      <c r="O11" s="27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1"/>
      <c r="AB11" s="31"/>
      <c r="AC11" s="31"/>
    </row>
    <row r="12" spans="1:45" s="478" customFormat="1" ht="36.75" customHeight="1" thickBot="1">
      <c r="A12" s="658" t="s">
        <v>44</v>
      </c>
      <c r="B12" s="658"/>
      <c r="C12" s="460">
        <f t="shared" ref="C12:G12" si="0">SUM(C7:C11)</f>
        <v>55450000</v>
      </c>
      <c r="D12" s="460">
        <f t="shared" si="0"/>
        <v>79270000</v>
      </c>
      <c r="E12" s="460">
        <f t="shared" si="0"/>
        <v>364567850</v>
      </c>
      <c r="F12" s="460">
        <f t="shared" si="0"/>
        <v>0</v>
      </c>
      <c r="G12" s="460">
        <f t="shared" si="0"/>
        <v>219227564</v>
      </c>
      <c r="H12" s="460">
        <f>SUM(H7:H11)</f>
        <v>225056072</v>
      </c>
      <c r="I12" s="475">
        <f>SUM(I7:I11)</f>
        <v>943571486</v>
      </c>
      <c r="J12" s="486">
        <f>SUM(J7:J11)</f>
        <v>724343922</v>
      </c>
      <c r="K12" s="27"/>
      <c r="L12" s="27"/>
      <c r="M12" s="27"/>
      <c r="N12" s="27"/>
      <c r="O12" s="27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</row>
    <row r="13" spans="1:45">
      <c r="AM13" s="27"/>
      <c r="AN13" s="27"/>
      <c r="AO13" s="27"/>
      <c r="AP13" s="27"/>
      <c r="AQ13" s="27"/>
    </row>
    <row r="14" spans="1:45" hidden="1">
      <c r="D14" s="27">
        <f>+'5 b.sz.mell.'!D61</f>
        <v>55450000</v>
      </c>
      <c r="F14" s="27">
        <f>+'5 b.sz.mell.'!I61</f>
        <v>79270000</v>
      </c>
      <c r="H14" s="27">
        <f>+'5 b.sz.mell.'!E61</f>
        <v>364567850</v>
      </c>
      <c r="L14" s="27">
        <f>+'5 b.sz.mell.'!H61</f>
        <v>219227564</v>
      </c>
      <c r="N14" s="27">
        <f>+'5 b.sz.mell.'!G61</f>
        <v>225056072</v>
      </c>
      <c r="P14" s="27">
        <f>+'5 b.sz.mell.'!J61-'5 b.sz.mell.'!F61</f>
        <v>943571486</v>
      </c>
      <c r="R14" s="27">
        <f>+'5 b.sz.mell.'!J61-'5 b.sz.mell.'!F61-'5 b.sz.mell.'!H61</f>
        <v>724343922</v>
      </c>
      <c r="AM14" s="27"/>
      <c r="AN14" s="27"/>
      <c r="AO14" s="27"/>
      <c r="AP14" s="27"/>
      <c r="AQ14" s="27"/>
    </row>
    <row r="15" spans="1:45">
      <c r="C15" s="27">
        <f>+'5 b.sz.mell.'!D61</f>
        <v>55450000</v>
      </c>
      <c r="D15" s="27">
        <f>+'5 b.sz.mell.'!I61</f>
        <v>79270000</v>
      </c>
      <c r="E15" s="27">
        <f>+'5 b.sz.mell.'!E61</f>
        <v>364567850</v>
      </c>
      <c r="F15" s="27">
        <v>0</v>
      </c>
      <c r="G15" s="27">
        <f>+'5 b.sz.mell.'!H61</f>
        <v>219227564</v>
      </c>
      <c r="H15" s="27">
        <f>+'5 b.sz.mell.'!G61</f>
        <v>225056072</v>
      </c>
      <c r="I15" s="27">
        <f>+'5 b.sz.mell.'!J61-'5 b.sz.mell.'!F61</f>
        <v>943571486</v>
      </c>
      <c r="J15" s="27">
        <f>+'5 b.sz.mell.'!J63-'5 b.sz.mell.'!F61</f>
        <v>724343922</v>
      </c>
      <c r="AM15" s="27"/>
      <c r="AN15" s="27"/>
      <c r="AO15" s="27"/>
      <c r="AP15" s="27"/>
      <c r="AQ15" s="27"/>
    </row>
    <row r="16" spans="1:45">
      <c r="AM16" s="27"/>
      <c r="AN16" s="27"/>
      <c r="AO16" s="27"/>
      <c r="AP16" s="27"/>
      <c r="AQ16" s="27"/>
    </row>
    <row r="17" spans="1:45" ht="15.75" customHeight="1" thickBot="1">
      <c r="A17" s="664" t="s">
        <v>28</v>
      </c>
      <c r="B17" s="665"/>
      <c r="C17" s="665"/>
      <c r="D17" s="665"/>
      <c r="E17" s="665"/>
      <c r="F17" s="665"/>
      <c r="G17" s="665"/>
      <c r="H17" s="665"/>
      <c r="I17" s="665"/>
      <c r="J17" s="665"/>
      <c r="K17" s="665"/>
      <c r="L17" s="665"/>
      <c r="M17" s="666"/>
      <c r="N17" s="666"/>
      <c r="O17" s="666"/>
      <c r="P17" s="666"/>
      <c r="Q17" s="666"/>
      <c r="R17" s="666"/>
      <c r="S17" s="666"/>
      <c r="T17" s="666"/>
      <c r="AM17" s="27"/>
      <c r="AN17" s="27"/>
      <c r="AO17" s="27"/>
      <c r="AP17" s="27"/>
      <c r="AQ17" s="27"/>
    </row>
    <row r="18" spans="1:45" ht="99.95" customHeight="1" thickBot="1">
      <c r="A18" s="655" t="s">
        <v>29</v>
      </c>
      <c r="B18" s="656"/>
      <c r="C18" s="539" t="s">
        <v>283</v>
      </c>
      <c r="D18" s="539" t="s">
        <v>219</v>
      </c>
      <c r="E18" s="539" t="s">
        <v>220</v>
      </c>
      <c r="F18" s="539" t="s">
        <v>33</v>
      </c>
      <c r="G18" s="540" t="s">
        <v>241</v>
      </c>
      <c r="H18" s="539" t="s">
        <v>34</v>
      </c>
      <c r="I18" s="539" t="s">
        <v>463</v>
      </c>
      <c r="J18" s="539" t="s">
        <v>322</v>
      </c>
      <c r="K18" s="539" t="s">
        <v>35</v>
      </c>
      <c r="L18" s="563" t="s">
        <v>243</v>
      </c>
      <c r="M18" s="32"/>
      <c r="N18" s="32"/>
      <c r="O18" s="32"/>
      <c r="P18" s="32"/>
      <c r="Q18" s="32"/>
      <c r="R18" s="32"/>
      <c r="S18" s="32"/>
      <c r="T18" s="32"/>
      <c r="AL18" s="21"/>
    </row>
    <row r="19" spans="1:45" ht="26.25" thickBot="1">
      <c r="A19" s="226" t="s">
        <v>36</v>
      </c>
      <c r="B19" s="227"/>
      <c r="C19" s="476" t="s">
        <v>242</v>
      </c>
      <c r="D19" s="476" t="s">
        <v>242</v>
      </c>
      <c r="E19" s="476" t="s">
        <v>242</v>
      </c>
      <c r="F19" s="476" t="s">
        <v>242</v>
      </c>
      <c r="G19" s="476" t="s">
        <v>242</v>
      </c>
      <c r="H19" s="476" t="s">
        <v>242</v>
      </c>
      <c r="I19" s="476" t="s">
        <v>242</v>
      </c>
      <c r="J19" s="476" t="s">
        <v>242</v>
      </c>
      <c r="K19" s="476" t="s">
        <v>242</v>
      </c>
      <c r="L19" s="476" t="s">
        <v>242</v>
      </c>
      <c r="AL19" s="21"/>
    </row>
    <row r="20" spans="1:45" ht="30" customHeight="1" thickBot="1">
      <c r="A20" s="228" t="s">
        <v>38</v>
      </c>
      <c r="B20" s="229" t="s">
        <v>191</v>
      </c>
      <c r="C20" s="461">
        <f>+'5.a sz.mell.'!D41</f>
        <v>85892556</v>
      </c>
      <c r="D20" s="481">
        <f>+'5.a sz.mell.'!E41</f>
        <v>14003768</v>
      </c>
      <c r="E20" s="481">
        <f>+'5.a sz.mell.'!F41</f>
        <v>108751841</v>
      </c>
      <c r="F20" s="481">
        <f>+'5.a sz.mell.'!G41</f>
        <v>95507898</v>
      </c>
      <c r="G20" s="482">
        <f>+'5 b.sz.mell.'!H61</f>
        <v>219227564</v>
      </c>
      <c r="H20" s="481">
        <f>+'5.a sz.mell.'!H63</f>
        <v>3147000</v>
      </c>
      <c r="I20" s="485">
        <f>+'5.a sz.mell.'!K41</f>
        <v>0</v>
      </c>
      <c r="J20" s="481">
        <f>+'5.a sz.mell.'!J63</f>
        <v>10751039</v>
      </c>
      <c r="K20" s="483">
        <f>+J20+H20+G20+F20+E20+D20+C20+I20</f>
        <v>537281666</v>
      </c>
      <c r="L20" s="484">
        <f t="shared" ref="L20:L25" si="1">+K20-G20</f>
        <v>318054102</v>
      </c>
      <c r="AL20" s="21"/>
    </row>
    <row r="21" spans="1:45" ht="30" customHeight="1" thickBot="1">
      <c r="A21" s="228" t="s">
        <v>39</v>
      </c>
      <c r="B21" s="229" t="s">
        <v>40</v>
      </c>
      <c r="C21" s="461">
        <f>+'5.a sz.mell.'!D45</f>
        <v>75004000</v>
      </c>
      <c r="D21" s="481">
        <f>+'5.a sz.mell.'!E45</f>
        <v>13211000</v>
      </c>
      <c r="E21" s="481">
        <f>+'5.a sz.mell.'!F45</f>
        <v>14100000</v>
      </c>
      <c r="F21" s="481">
        <f>+'5.a sz.mell.'!G45</f>
        <v>0</v>
      </c>
      <c r="G21" s="482"/>
      <c r="H21" s="481">
        <v>0</v>
      </c>
      <c r="I21" s="481">
        <f>+'5.a sz.mell.'!K45</f>
        <v>0</v>
      </c>
      <c r="J21" s="481">
        <v>0</v>
      </c>
      <c r="K21" s="483">
        <f t="shared" ref="K21:K24" si="2">+J21+H21+G21+F21+E21+D21+C21+I21</f>
        <v>102315000</v>
      </c>
      <c r="L21" s="484">
        <f t="shared" si="1"/>
        <v>102315000</v>
      </c>
      <c r="AL21" s="21"/>
    </row>
    <row r="22" spans="1:45" ht="30" customHeight="1" thickBot="1">
      <c r="A22" s="228" t="s">
        <v>41</v>
      </c>
      <c r="B22" s="229" t="s">
        <v>42</v>
      </c>
      <c r="C22" s="461">
        <f>+'5.a sz.mell.'!D50</f>
        <v>6786600</v>
      </c>
      <c r="D22" s="481">
        <f>+'5.a sz.mell.'!E50</f>
        <v>1019655</v>
      </c>
      <c r="E22" s="481">
        <f>+'5.a sz.mell.'!F50</f>
        <v>9015000</v>
      </c>
      <c r="F22" s="481">
        <f>+'5.a sz.mell.'!G50</f>
        <v>120000</v>
      </c>
      <c r="G22" s="482"/>
      <c r="H22" s="481">
        <v>0</v>
      </c>
      <c r="I22" s="481">
        <f>+'5.a sz.mell.'!K50</f>
        <v>0</v>
      </c>
      <c r="J22" s="481">
        <v>0</v>
      </c>
      <c r="K22" s="483">
        <f t="shared" si="2"/>
        <v>16941255</v>
      </c>
      <c r="L22" s="484">
        <f t="shared" si="1"/>
        <v>16941255</v>
      </c>
      <c r="AL22" s="21"/>
    </row>
    <row r="23" spans="1:45" ht="30" customHeight="1" thickBot="1">
      <c r="A23" s="228" t="s">
        <v>43</v>
      </c>
      <c r="B23" s="229" t="s">
        <v>218</v>
      </c>
      <c r="C23" s="461">
        <f>+'5.a sz.mell.'!D53</f>
        <v>3642400</v>
      </c>
      <c r="D23" s="481">
        <f>+'5.a sz.mell.'!E53</f>
        <v>619920</v>
      </c>
      <c r="E23" s="481">
        <f>+'5.a sz.mell.'!F53</f>
        <v>2460000</v>
      </c>
      <c r="F23" s="481">
        <v>0</v>
      </c>
      <c r="G23" s="482"/>
      <c r="H23" s="481">
        <v>0</v>
      </c>
      <c r="I23" s="481">
        <f>+'5.a sz.mell.'!K53</f>
        <v>0</v>
      </c>
      <c r="J23" s="481">
        <v>0</v>
      </c>
      <c r="K23" s="483">
        <f t="shared" si="2"/>
        <v>6722320</v>
      </c>
      <c r="L23" s="484">
        <f t="shared" si="1"/>
        <v>6722320</v>
      </c>
      <c r="AL23" s="21"/>
    </row>
    <row r="24" spans="1:45" ht="30" customHeight="1" thickBot="1">
      <c r="A24" s="228" t="s">
        <v>213</v>
      </c>
      <c r="B24" s="230" t="s">
        <v>222</v>
      </c>
      <c r="C24" s="461">
        <f>+'5.a sz.mell.'!D62</f>
        <v>51674254</v>
      </c>
      <c r="D24" s="481">
        <f>+'5.a sz.mell.'!E62</f>
        <v>8920494</v>
      </c>
      <c r="E24" s="481">
        <f>+'5.a sz.mell.'!F62</f>
        <v>66100000</v>
      </c>
      <c r="F24" s="481">
        <v>0</v>
      </c>
      <c r="G24" s="482"/>
      <c r="H24" s="481">
        <v>0</v>
      </c>
      <c r="I24" s="481">
        <f>+'5.a sz.mell.'!K62</f>
        <v>0</v>
      </c>
      <c r="J24" s="481">
        <v>0</v>
      </c>
      <c r="K24" s="483">
        <f t="shared" si="2"/>
        <v>126694748</v>
      </c>
      <c r="L24" s="484">
        <f t="shared" si="1"/>
        <v>126694748</v>
      </c>
      <c r="AL24" s="21"/>
    </row>
    <row r="25" spans="1:45" ht="15.75" thickBot="1">
      <c r="A25" s="654" t="s">
        <v>44</v>
      </c>
      <c r="B25" s="654"/>
      <c r="C25" s="460">
        <f>SUM(C20:C24)</f>
        <v>222999810</v>
      </c>
      <c r="D25" s="485">
        <f>SUM(D20:D24)</f>
        <v>37774837</v>
      </c>
      <c r="E25" s="485">
        <f t="shared" ref="E25" si="3">SUM(E20:E24)</f>
        <v>200426841</v>
      </c>
      <c r="F25" s="485">
        <f t="shared" ref="F25" si="4">SUM(F20:F24)</f>
        <v>95627898</v>
      </c>
      <c r="G25" s="485">
        <f t="shared" ref="G25" si="5">SUM(G20:G24)</f>
        <v>219227564</v>
      </c>
      <c r="H25" s="485">
        <f t="shared" ref="H25:J25" si="6">SUM(H20:H24)</f>
        <v>3147000</v>
      </c>
      <c r="I25" s="485">
        <f t="shared" si="6"/>
        <v>0</v>
      </c>
      <c r="J25" s="485">
        <f t="shared" si="6"/>
        <v>10751039</v>
      </c>
      <c r="K25" s="483">
        <f>+J25+H25+G25+F25+E25+D25+C25+I25</f>
        <v>789954989</v>
      </c>
      <c r="L25" s="484">
        <f t="shared" si="1"/>
        <v>570727425</v>
      </c>
      <c r="AL25" s="21"/>
    </row>
    <row r="26" spans="1:45">
      <c r="AM26" s="27"/>
      <c r="AN26" s="27"/>
      <c r="AO26" s="27"/>
      <c r="AP26" s="27"/>
      <c r="AQ26" s="27"/>
      <c r="AR26" s="27"/>
      <c r="AS26" s="27"/>
    </row>
    <row r="27" spans="1:45">
      <c r="C27" s="27">
        <f>+'5.a sz.mell.'!D63</f>
        <v>222999810</v>
      </c>
      <c r="D27" s="27">
        <f>+'5.a sz.mell.'!E63</f>
        <v>37774837</v>
      </c>
      <c r="E27" s="27">
        <f>+'5.a sz.mell.'!F63</f>
        <v>200426841</v>
      </c>
      <c r="F27" s="27">
        <f>+'5.a sz.mell.'!G63</f>
        <v>95627898</v>
      </c>
      <c r="G27" s="27">
        <f>+'5 b.sz.mell.'!H61</f>
        <v>219227564</v>
      </c>
      <c r="H27" s="27">
        <f>+'5.a sz.mell.'!H63</f>
        <v>3147000</v>
      </c>
      <c r="I27" s="27">
        <f>+'5.a sz.mell.'!K63</f>
        <v>0</v>
      </c>
      <c r="J27" s="27">
        <f>+'5.a sz.mell.'!J63</f>
        <v>10751039</v>
      </c>
      <c r="K27" s="27">
        <f>+'5.a sz.mell.'!N63-'5.a sz.mell.'!I63-'5.a sz.mell.'!L63</f>
        <v>617147483</v>
      </c>
      <c r="L27" s="27">
        <f>+'5.a sz.mell.'!N63-'5.a sz.mell.'!M63-'5.a sz.mell.'!L63-'5.a sz.mell.'!I63</f>
        <v>570727425</v>
      </c>
      <c r="AH27" s="21"/>
      <c r="AI27" s="21"/>
      <c r="AJ27" s="21"/>
      <c r="AK27" s="21"/>
      <c r="AL27" s="21"/>
    </row>
    <row r="28" spans="1:45">
      <c r="K28" s="565" t="s">
        <v>511</v>
      </c>
      <c r="L28" s="565" t="s">
        <v>511</v>
      </c>
      <c r="AM28" s="27"/>
      <c r="AN28" s="27"/>
      <c r="AO28" s="27"/>
      <c r="AP28" s="27"/>
      <c r="AQ28" s="27"/>
    </row>
  </sheetData>
  <mergeCells count="9">
    <mergeCell ref="A25:B25"/>
    <mergeCell ref="A18:B18"/>
    <mergeCell ref="Z5:AB5"/>
    <mergeCell ref="A12:B12"/>
    <mergeCell ref="A1:P1"/>
    <mergeCell ref="A2:P2"/>
    <mergeCell ref="A5:B5"/>
    <mergeCell ref="A4:J4"/>
    <mergeCell ref="A17:T17"/>
  </mergeCells>
  <phoneticPr fontId="0" type="noConversion"/>
  <pageMargins left="0.74803149606299213" right="0.74803149606299213" top="0.98425196850393704" bottom="0.98425196850393704" header="0.51181102362204722" footer="0.51181102362204722"/>
  <pageSetup paperSize="8" scale="58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theme="9" tint="-0.249977111117893"/>
    <pageSetUpPr fitToPage="1"/>
  </sheetPr>
  <dimension ref="A1:AE67"/>
  <sheetViews>
    <sheetView view="pageBreakPreview" zoomScale="60" zoomScaleNormal="100" workbookViewId="0">
      <pane xSplit="2" ySplit="5" topLeftCell="C54" activePane="bottomRight" state="frozen"/>
      <selection activeCell="C5" sqref="C5"/>
      <selection pane="topRight" activeCell="C5" sqref="C5"/>
      <selection pane="bottomLeft" activeCell="C5" sqref="C5"/>
      <selection pane="bottomRight" activeCell="J80" sqref="J80"/>
    </sheetView>
  </sheetViews>
  <sheetFormatPr defaultColWidth="8.85546875" defaultRowHeight="12.75"/>
  <cols>
    <col min="1" max="1" width="8.28515625" style="39" customWidth="1"/>
    <col min="2" max="2" width="12.140625" style="39" customWidth="1"/>
    <col min="3" max="3" width="45.28515625" style="39" customWidth="1"/>
    <col min="4" max="4" width="16" style="39" customWidth="1"/>
    <col min="5" max="5" width="14.42578125" style="39" customWidth="1"/>
    <col min="6" max="6" width="15.28515625" style="39" customWidth="1"/>
    <col min="7" max="7" width="14.85546875" style="39" customWidth="1"/>
    <col min="8" max="8" width="16.85546875" style="39" customWidth="1"/>
    <col min="9" max="9" width="14.85546875" style="39" customWidth="1"/>
    <col min="10" max="11" width="18.28515625" style="39" customWidth="1"/>
    <col min="12" max="12" width="15.42578125" style="501" customWidth="1"/>
    <col min="13" max="13" width="16" style="501" customWidth="1"/>
    <col min="14" max="14" width="18" style="39" customWidth="1"/>
    <col min="15" max="15" width="9.85546875" style="39" customWidth="1"/>
    <col min="16" max="16" width="15.85546875" style="39" customWidth="1"/>
    <col min="17" max="17" width="7.42578125" style="39" bestFit="1" customWidth="1"/>
    <col min="18" max="20" width="10.5703125" style="39" bestFit="1" customWidth="1"/>
    <col min="21" max="21" width="5.140625" style="45" bestFit="1" customWidth="1"/>
    <col min="22" max="22" width="7.140625" style="39" bestFit="1" customWidth="1"/>
    <col min="23" max="16384" width="8.85546875" style="37"/>
  </cols>
  <sheetData>
    <row r="1" spans="1:31" ht="15.75">
      <c r="A1" s="635" t="s">
        <v>602</v>
      </c>
      <c r="B1" s="635"/>
      <c r="C1" s="635"/>
      <c r="D1" s="635"/>
      <c r="E1" s="635"/>
      <c r="F1" s="635"/>
      <c r="G1" s="635"/>
      <c r="H1" s="635"/>
      <c r="I1" s="635"/>
      <c r="J1" s="635"/>
      <c r="K1" s="635"/>
      <c r="L1" s="635"/>
      <c r="M1" s="635"/>
      <c r="N1" s="635"/>
      <c r="O1" s="35"/>
      <c r="P1" s="35"/>
      <c r="Q1" s="35"/>
      <c r="R1" s="35"/>
      <c r="S1" s="35"/>
      <c r="T1" s="35"/>
      <c r="U1" s="35"/>
      <c r="V1" s="36"/>
      <c r="W1" s="35" t="s">
        <v>45</v>
      </c>
      <c r="X1" s="36"/>
    </row>
    <row r="2" spans="1:31" ht="33.75" customHeight="1">
      <c r="A2" s="680" t="s">
        <v>537</v>
      </c>
      <c r="B2" s="680"/>
      <c r="C2" s="680"/>
      <c r="D2" s="680"/>
      <c r="E2" s="680"/>
      <c r="F2" s="680"/>
      <c r="G2" s="680"/>
      <c r="H2" s="680"/>
      <c r="I2" s="680"/>
      <c r="J2" s="680"/>
      <c r="K2" s="680"/>
      <c r="L2" s="680"/>
      <c r="M2" s="680"/>
      <c r="N2" s="680"/>
      <c r="O2" s="223"/>
      <c r="P2" s="223"/>
      <c r="Q2" s="223"/>
      <c r="R2" s="223"/>
      <c r="S2" s="223"/>
      <c r="T2" s="223"/>
      <c r="U2" s="223"/>
      <c r="V2" s="223"/>
      <c r="W2" s="223"/>
      <c r="X2" s="223"/>
      <c r="Y2" s="223"/>
      <c r="Z2" s="223"/>
      <c r="AA2" s="223"/>
      <c r="AB2" s="223"/>
      <c r="AC2" s="223"/>
      <c r="AD2" s="223"/>
      <c r="AE2" s="38"/>
    </row>
    <row r="3" spans="1:31" ht="16.5" thickBot="1">
      <c r="B3" s="40"/>
      <c r="C3" s="40"/>
      <c r="D3" s="41"/>
      <c r="E3" s="41"/>
      <c r="F3" s="41"/>
      <c r="G3" s="41"/>
      <c r="H3" s="41"/>
      <c r="I3" s="41"/>
      <c r="J3" s="41"/>
      <c r="K3" s="41"/>
      <c r="L3" s="499"/>
      <c r="M3" s="499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2"/>
      <c r="Z3" s="42"/>
      <c r="AA3" s="42"/>
      <c r="AB3" s="43"/>
      <c r="AC3" s="39"/>
    </row>
    <row r="4" spans="1:31" ht="21" customHeight="1" thickBot="1">
      <c r="A4" s="681" t="s">
        <v>46</v>
      </c>
      <c r="B4" s="683" t="s">
        <v>318</v>
      </c>
      <c r="C4" s="685" t="s">
        <v>47</v>
      </c>
      <c r="D4" s="687"/>
      <c r="E4" s="687"/>
      <c r="F4" s="687"/>
      <c r="G4" s="687"/>
      <c r="H4" s="687"/>
      <c r="I4" s="687"/>
      <c r="J4" s="687"/>
      <c r="K4" s="687"/>
      <c r="L4" s="687"/>
      <c r="M4" s="502"/>
      <c r="N4" s="678" t="s">
        <v>500</v>
      </c>
      <c r="O4" s="667" t="s">
        <v>542</v>
      </c>
      <c r="P4" s="37"/>
      <c r="Q4" s="37"/>
      <c r="R4" s="37"/>
      <c r="S4" s="37"/>
      <c r="T4" s="37"/>
      <c r="U4" s="37"/>
      <c r="V4" s="37"/>
    </row>
    <row r="5" spans="1:31" ht="114" customHeight="1" thickBot="1">
      <c r="A5" s="682"/>
      <c r="B5" s="684"/>
      <c r="C5" s="686"/>
      <c r="D5" s="256" t="s">
        <v>483</v>
      </c>
      <c r="E5" s="256" t="s">
        <v>480</v>
      </c>
      <c r="F5" s="256" t="s">
        <v>481</v>
      </c>
      <c r="G5" s="256" t="s">
        <v>443</v>
      </c>
      <c r="H5" s="256" t="s">
        <v>441</v>
      </c>
      <c r="I5" s="490" t="s">
        <v>482</v>
      </c>
      <c r="J5" s="256" t="s">
        <v>440</v>
      </c>
      <c r="K5" s="256" t="s">
        <v>442</v>
      </c>
      <c r="L5" s="500" t="s">
        <v>484</v>
      </c>
      <c r="M5" s="500" t="s">
        <v>485</v>
      </c>
      <c r="N5" s="679"/>
      <c r="O5" s="668"/>
      <c r="P5" s="37"/>
      <c r="Q5" s="37"/>
      <c r="R5" s="37"/>
      <c r="S5" s="37"/>
      <c r="T5" s="37"/>
      <c r="U5" s="37"/>
      <c r="V5" s="37"/>
    </row>
    <row r="6" spans="1:31" ht="16.5" thickBot="1">
      <c r="A6" s="669" t="s">
        <v>38</v>
      </c>
      <c r="B6" s="257" t="s">
        <v>223</v>
      </c>
      <c r="C6" s="231" t="s">
        <v>267</v>
      </c>
      <c r="D6" s="396">
        <v>16177039</v>
      </c>
      <c r="E6" s="396">
        <v>2851185</v>
      </c>
      <c r="F6" s="396">
        <f>220000+400000+150000+100000+250000+2600000+20000+450000+40000</f>
        <v>4230000</v>
      </c>
      <c r="G6" s="396">
        <v>0</v>
      </c>
      <c r="H6" s="397">
        <v>0</v>
      </c>
      <c r="I6" s="396">
        <v>0</v>
      </c>
      <c r="J6" s="397">
        <v>0</v>
      </c>
      <c r="K6" s="396">
        <v>0</v>
      </c>
      <c r="L6" s="447">
        <v>0</v>
      </c>
      <c r="M6" s="447">
        <v>0</v>
      </c>
      <c r="N6" s="398">
        <f t="shared" ref="N6:N11" si="0">SUM(D6:M6)</f>
        <v>23258224</v>
      </c>
      <c r="O6" s="436">
        <v>1</v>
      </c>
      <c r="P6" s="160"/>
      <c r="Q6" s="37"/>
      <c r="R6" s="37"/>
      <c r="S6" s="37"/>
      <c r="T6" s="37"/>
      <c r="U6" s="37"/>
      <c r="V6" s="37"/>
    </row>
    <row r="7" spans="1:31" ht="16.5" thickBot="1">
      <c r="A7" s="669"/>
      <c r="B7" s="257" t="s">
        <v>248</v>
      </c>
      <c r="C7" s="231" t="s">
        <v>328</v>
      </c>
      <c r="D7" s="396">
        <v>0</v>
      </c>
      <c r="E7" s="396">
        <v>0</v>
      </c>
      <c r="F7" s="396">
        <f>120000+80000+50000+450000+150000</f>
        <v>850000</v>
      </c>
      <c r="G7" s="396">
        <v>0</v>
      </c>
      <c r="H7" s="397">
        <v>0</v>
      </c>
      <c r="I7" s="403">
        <v>0</v>
      </c>
      <c r="J7" s="397">
        <v>0</v>
      </c>
      <c r="K7" s="396">
        <v>0</v>
      </c>
      <c r="L7" s="447">
        <v>0</v>
      </c>
      <c r="M7" s="447">
        <v>0</v>
      </c>
      <c r="N7" s="398">
        <f t="shared" si="0"/>
        <v>850000</v>
      </c>
      <c r="O7" s="436">
        <v>0</v>
      </c>
      <c r="P7" s="160"/>
      <c r="Q7" s="37"/>
      <c r="R7" s="37"/>
      <c r="S7" s="37"/>
      <c r="T7" s="37"/>
      <c r="U7" s="37"/>
      <c r="V7" s="37"/>
    </row>
    <row r="8" spans="1:31" ht="16.5" thickBot="1">
      <c r="A8" s="669"/>
      <c r="B8" s="257" t="s">
        <v>249</v>
      </c>
      <c r="C8" s="401" t="s">
        <v>268</v>
      </c>
      <c r="D8" s="396">
        <v>0</v>
      </c>
      <c r="E8" s="396">
        <v>0</v>
      </c>
      <c r="F8" s="396">
        <f>1500000+15000+130000+350000+850000+12054083+2450000+3934797+500000+20000</f>
        <v>21803880</v>
      </c>
      <c r="G8" s="396">
        <v>0</v>
      </c>
      <c r="H8" s="397">
        <v>0</v>
      </c>
      <c r="I8" s="396">
        <v>8344429</v>
      </c>
      <c r="J8" s="397">
        <v>0</v>
      </c>
      <c r="K8" s="396">
        <v>0</v>
      </c>
      <c r="L8" s="447">
        <v>3400000</v>
      </c>
      <c r="M8" s="447">
        <f>1200000+350000</f>
        <v>1550000</v>
      </c>
      <c r="N8" s="398">
        <f t="shared" si="0"/>
        <v>35098309</v>
      </c>
      <c r="O8" s="436">
        <v>0</v>
      </c>
      <c r="P8" s="160"/>
      <c r="Q8" s="37"/>
      <c r="R8" s="37"/>
      <c r="S8" s="37"/>
      <c r="T8" s="37"/>
      <c r="U8" s="37"/>
      <c r="V8" s="37"/>
    </row>
    <row r="9" spans="1:31" s="612" customFormat="1" ht="16.5" thickBot="1">
      <c r="A9" s="669"/>
      <c r="B9" s="402" t="s">
        <v>420</v>
      </c>
      <c r="C9" s="401" t="s">
        <v>421</v>
      </c>
      <c r="D9" s="396">
        <v>0</v>
      </c>
      <c r="E9" s="396">
        <v>0</v>
      </c>
      <c r="F9" s="396">
        <v>0</v>
      </c>
      <c r="G9" s="396">
        <v>0</v>
      </c>
      <c r="H9" s="397">
        <v>0</v>
      </c>
      <c r="I9" s="396">
        <v>0</v>
      </c>
      <c r="J9" s="397">
        <v>0</v>
      </c>
      <c r="K9" s="396">
        <v>0</v>
      </c>
      <c r="L9" s="396">
        <v>0</v>
      </c>
      <c r="M9" s="396">
        <v>0</v>
      </c>
      <c r="N9" s="398">
        <f t="shared" si="0"/>
        <v>0</v>
      </c>
      <c r="O9" s="436">
        <v>0</v>
      </c>
      <c r="P9" s="611"/>
    </row>
    <row r="10" spans="1:31" s="612" customFormat="1" ht="16.5" thickBot="1">
      <c r="A10" s="669"/>
      <c r="B10" s="402" t="s">
        <v>251</v>
      </c>
      <c r="C10" s="400" t="s">
        <v>270</v>
      </c>
      <c r="D10" s="396">
        <v>3668850</v>
      </c>
      <c r="E10" s="396">
        <v>321023</v>
      </c>
      <c r="F10" s="396">
        <v>0</v>
      </c>
      <c r="G10" s="396">
        <v>0</v>
      </c>
      <c r="H10" s="397">
        <v>0</v>
      </c>
      <c r="I10" s="396">
        <v>1350319</v>
      </c>
      <c r="J10" s="397">
        <v>0</v>
      </c>
      <c r="K10" s="396">
        <v>0</v>
      </c>
      <c r="L10" s="447">
        <v>0</v>
      </c>
      <c r="M10" s="447">
        <v>0</v>
      </c>
      <c r="N10" s="398">
        <f t="shared" si="0"/>
        <v>5340192</v>
      </c>
      <c r="O10" s="436">
        <v>15</v>
      </c>
      <c r="P10" s="611"/>
    </row>
    <row r="11" spans="1:31" s="612" customFormat="1" ht="16.5" thickBot="1">
      <c r="A11" s="669"/>
      <c r="B11" s="402" t="s">
        <v>371</v>
      </c>
      <c r="C11" s="400" t="s">
        <v>372</v>
      </c>
      <c r="D11" s="396">
        <v>2935080</v>
      </c>
      <c r="E11" s="396">
        <v>256820</v>
      </c>
      <c r="F11" s="396">
        <v>0</v>
      </c>
      <c r="G11" s="396">
        <v>0</v>
      </c>
      <c r="H11" s="397">
        <v>0</v>
      </c>
      <c r="I11" s="396">
        <v>0</v>
      </c>
      <c r="J11" s="397">
        <v>0</v>
      </c>
      <c r="K11" s="396">
        <v>0</v>
      </c>
      <c r="L11" s="396">
        <v>0</v>
      </c>
      <c r="M11" s="396">
        <v>0</v>
      </c>
      <c r="N11" s="398">
        <f t="shared" si="0"/>
        <v>3191900</v>
      </c>
      <c r="O11" s="436">
        <v>0</v>
      </c>
      <c r="P11" s="611"/>
    </row>
    <row r="12" spans="1:31" s="612" customFormat="1" ht="16.5" thickBot="1">
      <c r="A12" s="669"/>
      <c r="B12" s="402" t="s">
        <v>252</v>
      </c>
      <c r="C12" s="400" t="s">
        <v>271</v>
      </c>
      <c r="D12" s="396">
        <v>0</v>
      </c>
      <c r="E12" s="396">
        <v>0</v>
      </c>
      <c r="F12" s="396">
        <v>0</v>
      </c>
      <c r="G12" s="396">
        <v>0</v>
      </c>
      <c r="H12" s="397">
        <v>0</v>
      </c>
      <c r="I12" s="396">
        <v>0</v>
      </c>
      <c r="J12" s="397">
        <v>0</v>
      </c>
      <c r="K12" s="396">
        <v>0</v>
      </c>
      <c r="L12" s="447">
        <v>0</v>
      </c>
      <c r="M12" s="447">
        <v>0</v>
      </c>
      <c r="N12" s="398">
        <f t="shared" ref="N12:N31" si="1">SUM(D12:M12)</f>
        <v>0</v>
      </c>
      <c r="O12" s="436">
        <f>5+8</f>
        <v>13</v>
      </c>
      <c r="P12" s="611"/>
    </row>
    <row r="13" spans="1:31" s="612" customFormat="1" ht="16.5" thickBot="1">
      <c r="A13" s="669"/>
      <c r="B13" s="505" t="s">
        <v>253</v>
      </c>
      <c r="C13" s="400" t="s">
        <v>329</v>
      </c>
      <c r="D13" s="396">
        <v>0</v>
      </c>
      <c r="E13" s="396">
        <v>0</v>
      </c>
      <c r="F13" s="396">
        <f>700000+550000+400000+50000</f>
        <v>1700000</v>
      </c>
      <c r="G13" s="396">
        <v>0</v>
      </c>
      <c r="H13" s="397">
        <v>0</v>
      </c>
      <c r="I13" s="396">
        <v>0</v>
      </c>
      <c r="J13" s="397">
        <v>0</v>
      </c>
      <c r="K13" s="396">
        <v>0</v>
      </c>
      <c r="L13" s="447">
        <v>0</v>
      </c>
      <c r="M13" s="447">
        <f>6020000+1625400</f>
        <v>7645400</v>
      </c>
      <c r="N13" s="398">
        <f t="shared" si="1"/>
        <v>9345400</v>
      </c>
      <c r="O13" s="436">
        <v>0</v>
      </c>
      <c r="P13" s="611"/>
    </row>
    <row r="14" spans="1:31" s="612" customFormat="1" ht="16.5" thickBot="1">
      <c r="A14" s="669"/>
      <c r="B14" s="402" t="s">
        <v>254</v>
      </c>
      <c r="C14" s="400" t="s">
        <v>330</v>
      </c>
      <c r="D14" s="396">
        <v>0</v>
      </c>
      <c r="E14" s="396">
        <v>0</v>
      </c>
      <c r="F14" s="396">
        <v>0</v>
      </c>
      <c r="G14" s="396">
        <v>140000</v>
      </c>
      <c r="H14" s="397">
        <v>0</v>
      </c>
      <c r="I14" s="396">
        <v>0</v>
      </c>
      <c r="J14" s="397">
        <v>0</v>
      </c>
      <c r="K14" s="396">
        <v>0</v>
      </c>
      <c r="L14" s="396">
        <v>0</v>
      </c>
      <c r="M14" s="396">
        <v>0</v>
      </c>
      <c r="N14" s="398">
        <f t="shared" si="1"/>
        <v>140000</v>
      </c>
      <c r="O14" s="436">
        <v>0</v>
      </c>
      <c r="P14" s="611"/>
    </row>
    <row r="15" spans="1:31" s="612" customFormat="1" ht="16.5" thickBot="1">
      <c r="A15" s="669"/>
      <c r="B15" s="402" t="s">
        <v>255</v>
      </c>
      <c r="C15" s="400" t="s">
        <v>272</v>
      </c>
      <c r="D15" s="396">
        <v>0</v>
      </c>
      <c r="E15" s="396">
        <v>0</v>
      </c>
      <c r="F15" s="396">
        <v>2255000</v>
      </c>
      <c r="G15" s="396">
        <v>0</v>
      </c>
      <c r="H15" s="397">
        <v>0</v>
      </c>
      <c r="I15" s="396">
        <v>24944510</v>
      </c>
      <c r="J15" s="397">
        <v>0</v>
      </c>
      <c r="K15" s="396">
        <v>0</v>
      </c>
      <c r="L15" s="396">
        <v>0</v>
      </c>
      <c r="M15" s="396">
        <v>15240000</v>
      </c>
      <c r="N15" s="398">
        <f>SUM(D15:M15)</f>
        <v>42439510</v>
      </c>
      <c r="O15" s="436">
        <v>0</v>
      </c>
      <c r="P15" s="611"/>
    </row>
    <row r="16" spans="1:31" s="612" customFormat="1" ht="16.5" thickBot="1">
      <c r="A16" s="669"/>
      <c r="B16" s="402" t="s">
        <v>538</v>
      </c>
      <c r="C16" s="400" t="s">
        <v>539</v>
      </c>
      <c r="D16" s="396">
        <v>2511600</v>
      </c>
      <c r="E16" s="396">
        <v>439530</v>
      </c>
      <c r="F16" s="396">
        <f>3763777+1016220</f>
        <v>4779997</v>
      </c>
      <c r="G16" s="396"/>
      <c r="H16" s="397"/>
      <c r="I16" s="396"/>
      <c r="J16" s="397"/>
      <c r="K16" s="396"/>
      <c r="L16" s="396">
        <f>2362204+637795</f>
        <v>2999999</v>
      </c>
      <c r="M16" s="396">
        <f>16877627+4557031</f>
        <v>21434658</v>
      </c>
      <c r="N16" s="398">
        <f>SUM(D16:M16)</f>
        <v>32165784</v>
      </c>
      <c r="O16" s="436">
        <v>0</v>
      </c>
      <c r="P16" s="611"/>
    </row>
    <row r="17" spans="1:22" s="612" customFormat="1" ht="16.5" thickBot="1">
      <c r="A17" s="669"/>
      <c r="B17" s="402" t="s">
        <v>256</v>
      </c>
      <c r="C17" s="400" t="s">
        <v>273</v>
      </c>
      <c r="D17" s="396">
        <v>0</v>
      </c>
      <c r="E17" s="396">
        <v>0</v>
      </c>
      <c r="F17" s="396">
        <f>150000+850000+200000+1500000</f>
        <v>2700000</v>
      </c>
      <c r="G17" s="396">
        <v>0</v>
      </c>
      <c r="H17" s="397">
        <v>0</v>
      </c>
      <c r="I17" s="396">
        <v>50933440</v>
      </c>
      <c r="J17" s="397">
        <v>0</v>
      </c>
      <c r="K17" s="396">
        <v>0</v>
      </c>
      <c r="L17" s="447">
        <v>0</v>
      </c>
      <c r="M17" s="447">
        <v>0</v>
      </c>
      <c r="N17" s="398">
        <f t="shared" si="1"/>
        <v>53633440</v>
      </c>
      <c r="O17" s="436">
        <v>0</v>
      </c>
      <c r="P17" s="611"/>
    </row>
    <row r="18" spans="1:22" ht="16.5" thickBot="1">
      <c r="A18" s="669"/>
      <c r="B18" s="257" t="s">
        <v>257</v>
      </c>
      <c r="C18" s="400" t="s">
        <v>48</v>
      </c>
      <c r="D18" s="396">
        <v>0</v>
      </c>
      <c r="E18" s="396">
        <v>0</v>
      </c>
      <c r="F18" s="396">
        <f>1600000+3550000+1250000</f>
        <v>6400000</v>
      </c>
      <c r="G18" s="396">
        <v>0</v>
      </c>
      <c r="H18" s="397">
        <v>0</v>
      </c>
      <c r="I18" s="396">
        <v>0</v>
      </c>
      <c r="J18" s="397">
        <v>0</v>
      </c>
      <c r="K18" s="396">
        <v>0</v>
      </c>
      <c r="L18" s="447">
        <v>0</v>
      </c>
      <c r="M18" s="447">
        <v>0</v>
      </c>
      <c r="N18" s="398">
        <f t="shared" si="1"/>
        <v>6400000</v>
      </c>
      <c r="O18" s="436">
        <v>0</v>
      </c>
      <c r="P18" s="160"/>
      <c r="Q18" s="37"/>
      <c r="R18" s="37"/>
      <c r="S18" s="37"/>
      <c r="T18" s="37"/>
      <c r="U18" s="37"/>
      <c r="V18" s="37"/>
    </row>
    <row r="19" spans="1:22" s="612" customFormat="1" ht="16.5" thickBot="1">
      <c r="A19" s="669"/>
      <c r="B19" s="402" t="s">
        <v>225</v>
      </c>
      <c r="C19" s="400" t="s">
        <v>224</v>
      </c>
      <c r="D19" s="396">
        <v>2571600</v>
      </c>
      <c r="E19" s="396">
        <v>450030</v>
      </c>
      <c r="F19" s="396">
        <f>1200000+300000+400000+80000</f>
        <v>1980000</v>
      </c>
      <c r="G19" s="396">
        <v>0</v>
      </c>
      <c r="H19" s="397">
        <v>0</v>
      </c>
      <c r="I19" s="396">
        <v>4508070</v>
      </c>
      <c r="J19" s="397">
        <v>0</v>
      </c>
      <c r="K19" s="396">
        <v>0</v>
      </c>
      <c r="L19" s="447">
        <v>0</v>
      </c>
      <c r="M19" s="447">
        <v>0</v>
      </c>
      <c r="N19" s="398">
        <f t="shared" si="1"/>
        <v>9509700</v>
      </c>
      <c r="O19" s="436">
        <v>1</v>
      </c>
      <c r="P19" s="611"/>
    </row>
    <row r="20" spans="1:22" s="612" customFormat="1" ht="16.5" thickBot="1">
      <c r="A20" s="669"/>
      <c r="B20" s="402" t="s">
        <v>226</v>
      </c>
      <c r="C20" s="400" t="s">
        <v>274</v>
      </c>
      <c r="D20" s="396">
        <f>25961083+72000</f>
        <v>26033083</v>
      </c>
      <c r="E20" s="396">
        <v>4290649</v>
      </c>
      <c r="F20" s="396">
        <f>8100000+50000+160000+1650000+6600000+6000000+700000</f>
        <v>23260000</v>
      </c>
      <c r="G20" s="396">
        <v>0</v>
      </c>
      <c r="H20" s="397">
        <v>0</v>
      </c>
      <c r="I20" s="396">
        <v>0</v>
      </c>
      <c r="J20" s="397">
        <v>0</v>
      </c>
      <c r="K20" s="396">
        <v>0</v>
      </c>
      <c r="L20" s="447">
        <v>0</v>
      </c>
      <c r="M20" s="447">
        <v>0</v>
      </c>
      <c r="N20" s="398">
        <f t="shared" si="1"/>
        <v>53583732</v>
      </c>
      <c r="O20" s="436">
        <v>11</v>
      </c>
      <c r="P20" s="611"/>
    </row>
    <row r="21" spans="1:22" s="612" customFormat="1" ht="16.5" thickBot="1">
      <c r="A21" s="669"/>
      <c r="B21" s="402" t="s">
        <v>258</v>
      </c>
      <c r="C21" s="400" t="s">
        <v>275</v>
      </c>
      <c r="D21" s="396">
        <v>0</v>
      </c>
      <c r="E21" s="396">
        <v>0</v>
      </c>
      <c r="F21" s="396">
        <f>450000+1250000+1600000+900000</f>
        <v>4200000</v>
      </c>
      <c r="G21" s="396">
        <v>0</v>
      </c>
      <c r="H21" s="397">
        <v>0</v>
      </c>
      <c r="I21" s="396">
        <v>0</v>
      </c>
      <c r="J21" s="397">
        <v>0</v>
      </c>
      <c r="K21" s="396">
        <v>0</v>
      </c>
      <c r="L21" s="447">
        <v>0</v>
      </c>
      <c r="M21" s="447">
        <v>0</v>
      </c>
      <c r="N21" s="398">
        <f t="shared" si="1"/>
        <v>4200000</v>
      </c>
      <c r="O21" s="436">
        <v>0</v>
      </c>
      <c r="P21" s="611"/>
    </row>
    <row r="22" spans="1:22" s="612" customFormat="1" ht="16.5" thickBot="1">
      <c r="A22" s="669"/>
      <c r="B22" s="402" t="s">
        <v>228</v>
      </c>
      <c r="C22" s="401" t="s">
        <v>49</v>
      </c>
      <c r="D22" s="396">
        <f>16601640+2609790</f>
        <v>19211430</v>
      </c>
      <c r="E22" s="396">
        <v>3362000</v>
      </c>
      <c r="F22" s="396">
        <f>450000+70000+150000+120000+250000+250000+250000+250000</f>
        <v>1790000</v>
      </c>
      <c r="G22" s="396">
        <v>0</v>
      </c>
      <c r="H22" s="397">
        <v>0</v>
      </c>
      <c r="I22" s="396">
        <v>0</v>
      </c>
      <c r="J22" s="397">
        <v>0</v>
      </c>
      <c r="K22" s="396">
        <v>0</v>
      </c>
      <c r="L22" s="447">
        <v>0</v>
      </c>
      <c r="M22" s="447">
        <v>0</v>
      </c>
      <c r="N22" s="398">
        <f t="shared" si="1"/>
        <v>24363430</v>
      </c>
      <c r="O22" s="436">
        <v>3</v>
      </c>
      <c r="P22" s="611"/>
    </row>
    <row r="23" spans="1:22" s="612" customFormat="1" ht="16.5" thickBot="1">
      <c r="A23" s="669"/>
      <c r="B23" s="614" t="s">
        <v>261</v>
      </c>
      <c r="C23" s="401" t="s">
        <v>278</v>
      </c>
      <c r="D23" s="396">
        <f>120000+855000</f>
        <v>975000</v>
      </c>
      <c r="E23" s="396">
        <v>170625</v>
      </c>
      <c r="F23" s="396">
        <f>260000+850000+1020000</f>
        <v>2130000</v>
      </c>
      <c r="G23" s="396">
        <v>0</v>
      </c>
      <c r="H23" s="397">
        <v>0</v>
      </c>
      <c r="I23" s="396">
        <v>0</v>
      </c>
      <c r="J23" s="397">
        <v>0</v>
      </c>
      <c r="K23" s="396">
        <v>0</v>
      </c>
      <c r="L23" s="447">
        <v>1400000</v>
      </c>
      <c r="M23" s="447">
        <v>0</v>
      </c>
      <c r="N23" s="398">
        <f t="shared" si="1"/>
        <v>4675625</v>
      </c>
      <c r="O23" s="436">
        <v>1</v>
      </c>
      <c r="P23" s="611"/>
    </row>
    <row r="24" spans="1:22" s="612" customFormat="1" ht="16.5" thickBot="1">
      <c r="A24" s="669"/>
      <c r="B24" s="402" t="s">
        <v>331</v>
      </c>
      <c r="C24" s="401" t="s">
        <v>279</v>
      </c>
      <c r="D24" s="396">
        <v>0</v>
      </c>
      <c r="E24" s="396">
        <v>0</v>
      </c>
      <c r="F24" s="396">
        <v>0</v>
      </c>
      <c r="G24" s="396">
        <v>86657095</v>
      </c>
      <c r="H24" s="397">
        <v>0</v>
      </c>
      <c r="I24" s="396">
        <v>0</v>
      </c>
      <c r="J24" s="397">
        <v>0</v>
      </c>
      <c r="K24" s="396">
        <v>0</v>
      </c>
      <c r="L24" s="447">
        <v>0</v>
      </c>
      <c r="M24" s="447">
        <v>0</v>
      </c>
      <c r="N24" s="398">
        <f t="shared" si="1"/>
        <v>86657095</v>
      </c>
      <c r="O24" s="436">
        <v>0</v>
      </c>
      <c r="P24" s="611"/>
    </row>
    <row r="25" spans="1:22" ht="42" customHeight="1" thickBot="1">
      <c r="A25" s="669"/>
      <c r="B25" s="402" t="s">
        <v>331</v>
      </c>
      <c r="C25" s="489" t="s">
        <v>489</v>
      </c>
      <c r="D25" s="396">
        <v>0</v>
      </c>
      <c r="E25" s="396">
        <v>0</v>
      </c>
      <c r="F25" s="396">
        <v>0</v>
      </c>
      <c r="G25" s="396">
        <f>1080098+116455+7514250</f>
        <v>8710803</v>
      </c>
      <c r="H25" s="396">
        <v>0</v>
      </c>
      <c r="I25" s="396">
        <v>0</v>
      </c>
      <c r="J25" s="396">
        <v>0</v>
      </c>
      <c r="K25" s="396">
        <v>0</v>
      </c>
      <c r="L25" s="396">
        <v>0</v>
      </c>
      <c r="M25" s="396">
        <v>0</v>
      </c>
      <c r="N25" s="398">
        <f t="shared" si="1"/>
        <v>8710803</v>
      </c>
      <c r="O25" s="436"/>
      <c r="P25" s="160"/>
      <c r="Q25" s="37"/>
      <c r="R25" s="37"/>
      <c r="S25" s="37"/>
      <c r="T25" s="37"/>
      <c r="U25" s="37"/>
      <c r="V25" s="37"/>
    </row>
    <row r="26" spans="1:22" ht="16.5" thickBot="1">
      <c r="A26" s="669"/>
      <c r="B26" s="257" t="s">
        <v>264</v>
      </c>
      <c r="C26" s="401" t="s">
        <v>230</v>
      </c>
      <c r="D26" s="396">
        <f>6028644+180000</f>
        <v>6208644</v>
      </c>
      <c r="E26" s="396">
        <v>1055013</v>
      </c>
      <c r="F26" s="396">
        <f>880000+400000+1192000+490000</f>
        <v>2962000</v>
      </c>
      <c r="G26" s="396">
        <v>0</v>
      </c>
      <c r="H26" s="397">
        <v>0</v>
      </c>
      <c r="I26" s="396">
        <v>0</v>
      </c>
      <c r="J26" s="397">
        <v>0</v>
      </c>
      <c r="K26" s="396">
        <v>0</v>
      </c>
      <c r="L26" s="447">
        <v>0</v>
      </c>
      <c r="M26" s="447">
        <v>150000</v>
      </c>
      <c r="N26" s="398">
        <f t="shared" si="1"/>
        <v>10375657</v>
      </c>
      <c r="O26" s="436">
        <v>2</v>
      </c>
      <c r="P26" s="160"/>
      <c r="Q26" s="37"/>
      <c r="R26" s="37"/>
      <c r="S26" s="37"/>
      <c r="T26" s="37"/>
      <c r="U26" s="37"/>
      <c r="V26" s="37"/>
    </row>
    <row r="27" spans="1:22" ht="16.5" thickBot="1">
      <c r="A27" s="669"/>
      <c r="B27" s="257" t="s">
        <v>265</v>
      </c>
      <c r="C27" s="401" t="s">
        <v>281</v>
      </c>
      <c r="D27" s="396">
        <v>0</v>
      </c>
      <c r="E27" s="396">
        <v>0</v>
      </c>
      <c r="F27" s="396">
        <v>450000</v>
      </c>
      <c r="G27" s="396">
        <v>0</v>
      </c>
      <c r="H27" s="397">
        <v>0</v>
      </c>
      <c r="I27" s="396">
        <v>8815656</v>
      </c>
      <c r="J27" s="397">
        <v>0</v>
      </c>
      <c r="K27" s="396">
        <v>0</v>
      </c>
      <c r="L27" s="447">
        <v>0</v>
      </c>
      <c r="M27" s="447">
        <v>400000</v>
      </c>
      <c r="N27" s="398">
        <f t="shared" si="1"/>
        <v>9665656</v>
      </c>
      <c r="O27" s="436">
        <v>0</v>
      </c>
      <c r="P27" s="160"/>
      <c r="Q27" s="37"/>
      <c r="R27" s="37"/>
      <c r="S27" s="37"/>
      <c r="T27" s="37"/>
      <c r="U27" s="37"/>
      <c r="V27" s="37"/>
    </row>
    <row r="28" spans="1:22" ht="16.5" thickBot="1">
      <c r="A28" s="669"/>
      <c r="B28" s="617" t="s">
        <v>266</v>
      </c>
      <c r="C28" s="616" t="s">
        <v>282</v>
      </c>
      <c r="D28" s="403">
        <v>0</v>
      </c>
      <c r="E28" s="403">
        <v>0</v>
      </c>
      <c r="F28" s="403">
        <v>0</v>
      </c>
      <c r="G28" s="403">
        <v>0</v>
      </c>
      <c r="H28" s="619">
        <f>700000+1600000+100000</f>
        <v>2400000</v>
      </c>
      <c r="I28" s="403">
        <v>0</v>
      </c>
      <c r="J28" s="619">
        <v>0</v>
      </c>
      <c r="K28" s="403">
        <v>0</v>
      </c>
      <c r="L28" s="403">
        <v>0</v>
      </c>
      <c r="M28" s="403">
        <v>0</v>
      </c>
      <c r="N28" s="398">
        <f t="shared" si="1"/>
        <v>2400000</v>
      </c>
      <c r="O28" s="436">
        <v>0</v>
      </c>
      <c r="P28" s="160"/>
      <c r="Q28" s="37"/>
      <c r="R28" s="37"/>
      <c r="S28" s="37"/>
      <c r="T28" s="37"/>
      <c r="U28" s="37"/>
      <c r="V28" s="37"/>
    </row>
    <row r="29" spans="1:22" s="612" customFormat="1" ht="16.5" thickBot="1">
      <c r="A29" s="669"/>
      <c r="B29" s="402" t="s">
        <v>288</v>
      </c>
      <c r="C29" s="488" t="s">
        <v>290</v>
      </c>
      <c r="D29" s="396">
        <v>0</v>
      </c>
      <c r="E29" s="396">
        <v>0</v>
      </c>
      <c r="F29" s="396">
        <f>750000+120000</f>
        <v>870000</v>
      </c>
      <c r="G29" s="396">
        <v>0</v>
      </c>
      <c r="H29" s="397">
        <v>0</v>
      </c>
      <c r="I29" s="396">
        <v>0</v>
      </c>
      <c r="J29" s="397">
        <v>0</v>
      </c>
      <c r="K29" s="396">
        <v>0</v>
      </c>
      <c r="L29" s="447">
        <v>3635000</v>
      </c>
      <c r="M29" s="447">
        <v>0</v>
      </c>
      <c r="N29" s="398">
        <f t="shared" si="1"/>
        <v>4505000</v>
      </c>
      <c r="O29" s="436">
        <v>0</v>
      </c>
      <c r="P29" s="611"/>
    </row>
    <row r="30" spans="1:22" ht="16.5" thickBot="1">
      <c r="A30" s="669"/>
      <c r="B30" s="257" t="s">
        <v>332</v>
      </c>
      <c r="C30" s="401" t="s">
        <v>333</v>
      </c>
      <c r="D30" s="396">
        <v>0</v>
      </c>
      <c r="E30" s="396">
        <v>0</v>
      </c>
      <c r="F30" s="396">
        <v>0</v>
      </c>
      <c r="G30" s="396">
        <v>0</v>
      </c>
      <c r="H30" s="397">
        <v>0</v>
      </c>
      <c r="I30" s="396">
        <v>0</v>
      </c>
      <c r="J30" s="397">
        <v>10751039</v>
      </c>
      <c r="K30" s="396">
        <v>0</v>
      </c>
      <c r="L30" s="396">
        <v>0</v>
      </c>
      <c r="M30" s="396">
        <v>0</v>
      </c>
      <c r="N30" s="398">
        <f t="shared" si="1"/>
        <v>10751039</v>
      </c>
      <c r="O30" s="436">
        <v>0</v>
      </c>
      <c r="P30" s="160"/>
      <c r="Q30" s="37"/>
      <c r="R30" s="37"/>
      <c r="S30" s="37"/>
      <c r="T30" s="37"/>
      <c r="U30" s="37"/>
      <c r="V30" s="37"/>
    </row>
    <row r="31" spans="1:22" ht="35.25" customHeight="1" thickBot="1">
      <c r="A31" s="669"/>
      <c r="B31" s="257" t="s">
        <v>490</v>
      </c>
      <c r="C31" s="401" t="s">
        <v>491</v>
      </c>
      <c r="D31" s="396">
        <v>0</v>
      </c>
      <c r="E31" s="396">
        <v>0</v>
      </c>
      <c r="F31" s="396">
        <v>67492</v>
      </c>
      <c r="G31" s="396">
        <v>0</v>
      </c>
      <c r="H31" s="396">
        <v>0</v>
      </c>
      <c r="I31" s="396">
        <v>0</v>
      </c>
      <c r="J31" s="396">
        <v>0</v>
      </c>
      <c r="K31" s="396">
        <v>0</v>
      </c>
      <c r="L31" s="396">
        <f>537295+145070</f>
        <v>682365</v>
      </c>
      <c r="M31" s="396">
        <v>0</v>
      </c>
      <c r="N31" s="398">
        <f t="shared" si="1"/>
        <v>749857</v>
      </c>
      <c r="O31" s="436">
        <v>0</v>
      </c>
      <c r="P31" s="160"/>
      <c r="Q31" s="37"/>
      <c r="R31" s="37"/>
      <c r="S31" s="37"/>
      <c r="T31" s="37"/>
      <c r="U31" s="37"/>
      <c r="V31" s="37"/>
    </row>
    <row r="32" spans="1:22" ht="16.5" thickBot="1">
      <c r="A32" s="669"/>
      <c r="B32" s="232" t="s">
        <v>52</v>
      </c>
      <c r="C32" s="232"/>
      <c r="D32" s="398">
        <f>SUM(D6:D31)</f>
        <v>80292326</v>
      </c>
      <c r="E32" s="398">
        <f>SUM(E6:E31)</f>
        <v>13196875</v>
      </c>
      <c r="F32" s="398">
        <f t="shared" ref="F32:M32" si="2">SUM(F6:F31)</f>
        <v>82428369</v>
      </c>
      <c r="G32" s="398">
        <f t="shared" si="2"/>
        <v>95507898</v>
      </c>
      <c r="H32" s="398">
        <f t="shared" si="2"/>
        <v>2400000</v>
      </c>
      <c r="I32" s="398">
        <f t="shared" si="2"/>
        <v>98896424</v>
      </c>
      <c r="J32" s="398">
        <f t="shared" si="2"/>
        <v>10751039</v>
      </c>
      <c r="K32" s="398">
        <f t="shared" si="2"/>
        <v>0</v>
      </c>
      <c r="L32" s="398">
        <f t="shared" si="2"/>
        <v>12117364</v>
      </c>
      <c r="M32" s="398">
        <f t="shared" si="2"/>
        <v>46420058</v>
      </c>
      <c r="N32" s="398">
        <f>SUM(N6:N31)</f>
        <v>442010353</v>
      </c>
      <c r="O32" s="448">
        <f>SUM(O6:O31)</f>
        <v>47</v>
      </c>
      <c r="P32" s="44"/>
      <c r="Q32" s="37"/>
      <c r="R32" s="160"/>
      <c r="S32" s="160"/>
      <c r="T32" s="37"/>
      <c r="U32" s="37"/>
      <c r="V32" s="37"/>
    </row>
    <row r="33" spans="1:22" s="612" customFormat="1" ht="16.5" thickBot="1">
      <c r="A33" s="669"/>
      <c r="B33" s="402" t="s">
        <v>260</v>
      </c>
      <c r="C33" s="401" t="s">
        <v>277</v>
      </c>
      <c r="D33" s="396">
        <v>863130</v>
      </c>
      <c r="E33" s="396">
        <v>0</v>
      </c>
      <c r="F33" s="396">
        <f>80000+150000</f>
        <v>230000</v>
      </c>
      <c r="G33" s="396">
        <v>0</v>
      </c>
      <c r="H33" s="397">
        <v>0</v>
      </c>
      <c r="I33" s="396">
        <v>0</v>
      </c>
      <c r="J33" s="397">
        <v>0</v>
      </c>
      <c r="K33" s="396">
        <v>0</v>
      </c>
      <c r="L33" s="396">
        <v>0</v>
      </c>
      <c r="M33" s="396">
        <v>0</v>
      </c>
      <c r="N33" s="398">
        <f t="shared" ref="N33:N39" si="3">SUM(D33:M33)</f>
        <v>1093130</v>
      </c>
      <c r="O33" s="436">
        <v>1</v>
      </c>
      <c r="P33" s="613"/>
      <c r="R33" s="611"/>
    </row>
    <row r="34" spans="1:22" ht="16.5" thickBot="1">
      <c r="A34" s="669"/>
      <c r="B34" s="617" t="s">
        <v>266</v>
      </c>
      <c r="C34" s="616" t="s">
        <v>236</v>
      </c>
      <c r="D34" s="403">
        <v>0</v>
      </c>
      <c r="E34" s="403">
        <v>0</v>
      </c>
      <c r="F34" s="403">
        <v>0</v>
      </c>
      <c r="G34" s="403">
        <v>0</v>
      </c>
      <c r="H34" s="619">
        <v>567000</v>
      </c>
      <c r="I34" s="403">
        <v>0</v>
      </c>
      <c r="J34" s="619">
        <v>0</v>
      </c>
      <c r="K34" s="403">
        <v>0</v>
      </c>
      <c r="L34" s="403">
        <v>0</v>
      </c>
      <c r="M34" s="403">
        <v>0</v>
      </c>
      <c r="N34" s="398">
        <f t="shared" si="3"/>
        <v>567000</v>
      </c>
      <c r="O34" s="436">
        <v>0</v>
      </c>
      <c r="P34" s="44"/>
      <c r="Q34" s="37"/>
      <c r="R34" s="160"/>
      <c r="S34" s="37"/>
      <c r="T34" s="37"/>
      <c r="U34" s="37"/>
      <c r="V34" s="37"/>
    </row>
    <row r="35" spans="1:22" ht="32.25" customHeight="1" thickBot="1">
      <c r="A35" s="669"/>
      <c r="B35" s="617" t="s">
        <v>266</v>
      </c>
      <c r="C35" s="618" t="s">
        <v>300</v>
      </c>
      <c r="D35" s="403">
        <v>0</v>
      </c>
      <c r="E35" s="403">
        <v>0</v>
      </c>
      <c r="F35" s="403">
        <v>0</v>
      </c>
      <c r="G35" s="403">
        <v>0</v>
      </c>
      <c r="H35" s="619">
        <v>180000</v>
      </c>
      <c r="I35" s="403">
        <v>0</v>
      </c>
      <c r="J35" s="619">
        <v>0</v>
      </c>
      <c r="K35" s="403">
        <v>0</v>
      </c>
      <c r="L35" s="403">
        <v>0</v>
      </c>
      <c r="M35" s="403">
        <v>0</v>
      </c>
      <c r="N35" s="398">
        <f t="shared" si="3"/>
        <v>180000</v>
      </c>
      <c r="O35" s="436">
        <v>0</v>
      </c>
      <c r="P35" s="44"/>
      <c r="Q35" s="37"/>
      <c r="R35" s="37"/>
      <c r="S35" s="37"/>
      <c r="T35" s="37"/>
      <c r="U35" s="37"/>
      <c r="V35" s="37"/>
    </row>
    <row r="36" spans="1:22" s="612" customFormat="1" ht="16.5" thickBot="1">
      <c r="A36" s="669"/>
      <c r="B36" s="615" t="s">
        <v>365</v>
      </c>
      <c r="C36" s="401" t="s">
        <v>366</v>
      </c>
      <c r="D36" s="396">
        <v>0</v>
      </c>
      <c r="E36" s="396">
        <v>0</v>
      </c>
      <c r="F36" s="396">
        <v>0</v>
      </c>
      <c r="G36" s="396">
        <v>0</v>
      </c>
      <c r="H36" s="397">
        <v>0</v>
      </c>
      <c r="I36" s="396">
        <v>0</v>
      </c>
      <c r="J36" s="397">
        <v>0</v>
      </c>
      <c r="K36" s="396">
        <v>0</v>
      </c>
      <c r="L36" s="396">
        <v>0</v>
      </c>
      <c r="M36" s="396">
        <v>0</v>
      </c>
      <c r="N36" s="398">
        <f t="shared" si="3"/>
        <v>0</v>
      </c>
      <c r="O36" s="436">
        <v>0</v>
      </c>
      <c r="P36" s="613"/>
    </row>
    <row r="37" spans="1:22" ht="16.5" thickBot="1">
      <c r="A37" s="669"/>
      <c r="B37" s="258" t="s">
        <v>250</v>
      </c>
      <c r="C37" s="400" t="s">
        <v>269</v>
      </c>
      <c r="D37" s="396">
        <v>0</v>
      </c>
      <c r="E37" s="396">
        <v>0</v>
      </c>
      <c r="F37" s="396">
        <v>0</v>
      </c>
      <c r="G37" s="396">
        <v>0</v>
      </c>
      <c r="H37" s="397">
        <v>0</v>
      </c>
      <c r="I37" s="396">
        <v>0</v>
      </c>
      <c r="J37" s="397">
        <v>0</v>
      </c>
      <c r="K37" s="396">
        <v>0</v>
      </c>
      <c r="L37" s="447">
        <v>0</v>
      </c>
      <c r="M37" s="396">
        <v>0</v>
      </c>
      <c r="N37" s="398">
        <f t="shared" si="3"/>
        <v>0</v>
      </c>
      <c r="O37" s="436">
        <v>0</v>
      </c>
      <c r="P37" s="44"/>
      <c r="Q37" s="37"/>
      <c r="R37" s="37"/>
      <c r="S37" s="37"/>
      <c r="T37" s="37"/>
      <c r="U37" s="37"/>
      <c r="V37" s="37"/>
    </row>
    <row r="38" spans="1:22" s="612" customFormat="1" ht="16.5" thickBot="1">
      <c r="A38" s="669"/>
      <c r="B38" s="402" t="s">
        <v>361</v>
      </c>
      <c r="C38" s="400" t="s">
        <v>363</v>
      </c>
      <c r="D38" s="396">
        <f>774100+672000</f>
        <v>1446100</v>
      </c>
      <c r="E38" s="396">
        <v>241309</v>
      </c>
      <c r="F38" s="396">
        <f>374441+643916+700000+19432532+527490</f>
        <v>21678379</v>
      </c>
      <c r="G38" s="396">
        <v>0</v>
      </c>
      <c r="H38" s="397">
        <v>0</v>
      </c>
      <c r="I38" s="396">
        <v>0</v>
      </c>
      <c r="J38" s="397">
        <v>0</v>
      </c>
      <c r="K38" s="396">
        <v>0</v>
      </c>
      <c r="L38" s="447">
        <f>344000+92880</f>
        <v>436880</v>
      </c>
      <c r="M38" s="396">
        <v>0</v>
      </c>
      <c r="N38" s="398">
        <f t="shared" si="3"/>
        <v>23802668</v>
      </c>
      <c r="O38" s="436">
        <v>0</v>
      </c>
      <c r="P38" s="613"/>
    </row>
    <row r="39" spans="1:22" s="612" customFormat="1" ht="16.5" thickBot="1">
      <c r="A39" s="669"/>
      <c r="B39" s="402" t="s">
        <v>362</v>
      </c>
      <c r="C39" s="400" t="s">
        <v>364</v>
      </c>
      <c r="D39" s="396">
        <f>2700000+591000</f>
        <v>3291000</v>
      </c>
      <c r="E39" s="396">
        <v>565584</v>
      </c>
      <c r="F39" s="396">
        <f>168165+258889+3944697+43342</f>
        <v>4415093</v>
      </c>
      <c r="G39" s="396">
        <v>0</v>
      </c>
      <c r="H39" s="397">
        <v>0</v>
      </c>
      <c r="I39" s="396">
        <v>0</v>
      </c>
      <c r="J39" s="397">
        <v>0</v>
      </c>
      <c r="K39" s="396">
        <v>0</v>
      </c>
      <c r="L39" s="447">
        <v>0</v>
      </c>
      <c r="M39" s="396">
        <v>0</v>
      </c>
      <c r="N39" s="398">
        <f t="shared" si="3"/>
        <v>8271677</v>
      </c>
      <c r="O39" s="436">
        <v>0</v>
      </c>
      <c r="P39" s="613"/>
    </row>
    <row r="40" spans="1:22" ht="16.5" thickBot="1">
      <c r="A40" s="669"/>
      <c r="B40" s="232" t="s">
        <v>53</v>
      </c>
      <c r="C40" s="232"/>
      <c r="D40" s="398">
        <f>SUM(D33:D39)</f>
        <v>5600230</v>
      </c>
      <c r="E40" s="398">
        <f t="shared" ref="E40:M40" si="4">SUM(E33:E39)</f>
        <v>806893</v>
      </c>
      <c r="F40" s="398">
        <f t="shared" si="4"/>
        <v>26323472</v>
      </c>
      <c r="G40" s="398">
        <f t="shared" si="4"/>
        <v>0</v>
      </c>
      <c r="H40" s="398">
        <f t="shared" si="4"/>
        <v>747000</v>
      </c>
      <c r="I40" s="398">
        <f t="shared" si="4"/>
        <v>0</v>
      </c>
      <c r="J40" s="398">
        <f t="shared" si="4"/>
        <v>0</v>
      </c>
      <c r="K40" s="398">
        <f t="shared" si="4"/>
        <v>0</v>
      </c>
      <c r="L40" s="398">
        <f t="shared" si="4"/>
        <v>436880</v>
      </c>
      <c r="M40" s="398">
        <f t="shared" si="4"/>
        <v>0</v>
      </c>
      <c r="N40" s="398">
        <f>SUM(N33:N39)</f>
        <v>33914475</v>
      </c>
      <c r="O40" s="434">
        <v>0</v>
      </c>
      <c r="P40" s="44"/>
      <c r="Q40" s="37"/>
      <c r="R40" s="37"/>
      <c r="S40" s="37"/>
      <c r="T40" s="37"/>
      <c r="U40" s="37"/>
      <c r="V40" s="37"/>
    </row>
    <row r="41" spans="1:22" ht="16.5" thickBot="1">
      <c r="A41" s="669"/>
      <c r="B41" s="670" t="s">
        <v>54</v>
      </c>
      <c r="C41" s="671"/>
      <c r="D41" s="398">
        <f>D32+D40</f>
        <v>85892556</v>
      </c>
      <c r="E41" s="398">
        <f t="shared" ref="E41:N41" si="5">E32+E40</f>
        <v>14003768</v>
      </c>
      <c r="F41" s="398">
        <f t="shared" si="5"/>
        <v>108751841</v>
      </c>
      <c r="G41" s="398">
        <f t="shared" si="5"/>
        <v>95507898</v>
      </c>
      <c r="H41" s="544">
        <f t="shared" si="5"/>
        <v>3147000</v>
      </c>
      <c r="I41" s="398">
        <f t="shared" si="5"/>
        <v>98896424</v>
      </c>
      <c r="J41" s="544">
        <f t="shared" si="5"/>
        <v>10751039</v>
      </c>
      <c r="K41" s="398">
        <f t="shared" si="5"/>
        <v>0</v>
      </c>
      <c r="L41" s="398">
        <f t="shared" si="5"/>
        <v>12554244</v>
      </c>
      <c r="M41" s="398">
        <f t="shared" si="5"/>
        <v>46420058</v>
      </c>
      <c r="N41" s="398">
        <f t="shared" si="5"/>
        <v>475924828</v>
      </c>
      <c r="O41" s="434">
        <f>SUM(O32,O40)</f>
        <v>47</v>
      </c>
      <c r="P41" s="160">
        <f>695152392-219227564</f>
        <v>475924828</v>
      </c>
      <c r="Q41" s="37"/>
      <c r="R41" s="37"/>
      <c r="S41" s="37"/>
      <c r="T41" s="37"/>
      <c r="U41" s="37"/>
      <c r="V41" s="37"/>
    </row>
    <row r="42" spans="1:22" ht="37.9" customHeight="1" thickBot="1">
      <c r="A42" s="669" t="s">
        <v>39</v>
      </c>
      <c r="B42" s="260" t="s">
        <v>223</v>
      </c>
      <c r="C42" s="401" t="s">
        <v>267</v>
      </c>
      <c r="D42" s="396">
        <f>65279912+3200000+3491088+450000+126000</f>
        <v>72547000</v>
      </c>
      <c r="E42" s="396">
        <f>373063+12441212</f>
        <v>12814275</v>
      </c>
      <c r="F42" s="396">
        <v>14100000</v>
      </c>
      <c r="G42" s="396">
        <v>0</v>
      </c>
      <c r="H42" s="397">
        <v>0</v>
      </c>
      <c r="I42" s="396">
        <v>0</v>
      </c>
      <c r="J42" s="397">
        <v>0</v>
      </c>
      <c r="K42" s="396"/>
      <c r="L42" s="396">
        <v>381000</v>
      </c>
      <c r="M42" s="396">
        <v>0</v>
      </c>
      <c r="N42" s="398">
        <f>SUM(D42:M42)</f>
        <v>99842275</v>
      </c>
      <c r="O42" s="435">
        <v>17</v>
      </c>
      <c r="P42" s="44">
        <f>+N41-P41</f>
        <v>0</v>
      </c>
      <c r="Q42" s="37"/>
      <c r="R42" s="37"/>
      <c r="S42" s="37"/>
      <c r="T42" s="37"/>
      <c r="U42" s="37"/>
      <c r="V42" s="37"/>
    </row>
    <row r="43" spans="1:22" ht="22.5" customHeight="1" thickBot="1">
      <c r="A43" s="669"/>
      <c r="B43" s="545" t="s">
        <v>361</v>
      </c>
      <c r="C43" s="400" t="s">
        <v>363</v>
      </c>
      <c r="D43" s="396">
        <f>100000+902000</f>
        <v>1002000</v>
      </c>
      <c r="E43" s="396">
        <v>157850</v>
      </c>
      <c r="F43" s="396">
        <v>0</v>
      </c>
      <c r="G43" s="396">
        <v>0</v>
      </c>
      <c r="H43" s="396">
        <v>0</v>
      </c>
      <c r="I43" s="396">
        <v>0</v>
      </c>
      <c r="J43" s="396">
        <v>0</v>
      </c>
      <c r="K43" s="396">
        <v>0</v>
      </c>
      <c r="L43" s="396">
        <v>0</v>
      </c>
      <c r="M43" s="396">
        <v>0</v>
      </c>
      <c r="N43" s="398">
        <f t="shared" ref="N43:N44" si="6">SUM(D43:M43)</f>
        <v>1159850</v>
      </c>
      <c r="O43" s="435">
        <v>0</v>
      </c>
      <c r="P43" s="37"/>
      <c r="Q43" s="37"/>
      <c r="R43" s="37"/>
      <c r="S43" s="37"/>
      <c r="T43" s="37"/>
      <c r="U43" s="37"/>
      <c r="V43" s="37"/>
    </row>
    <row r="44" spans="1:22" ht="39" customHeight="1" thickBot="1">
      <c r="A44" s="669"/>
      <c r="B44" s="546" t="s">
        <v>375</v>
      </c>
      <c r="C44" s="400" t="s">
        <v>364</v>
      </c>
      <c r="D44" s="396">
        <f>1365000+90000</f>
        <v>1455000</v>
      </c>
      <c r="E44" s="396">
        <v>238875</v>
      </c>
      <c r="F44" s="396">
        <v>0</v>
      </c>
      <c r="G44" s="396">
        <v>0</v>
      </c>
      <c r="H44" s="396">
        <v>0</v>
      </c>
      <c r="I44" s="396">
        <v>0</v>
      </c>
      <c r="J44" s="396">
        <v>0</v>
      </c>
      <c r="K44" s="396">
        <v>0</v>
      </c>
      <c r="L44" s="396">
        <v>0</v>
      </c>
      <c r="M44" s="396">
        <v>0</v>
      </c>
      <c r="N44" s="398">
        <f t="shared" si="6"/>
        <v>1693875</v>
      </c>
      <c r="O44" s="435">
        <v>0</v>
      </c>
      <c r="P44" s="37"/>
      <c r="Q44" s="37"/>
      <c r="R44" s="37"/>
      <c r="S44" s="37"/>
      <c r="T44" s="37"/>
      <c r="U44" s="37"/>
      <c r="V44" s="37"/>
    </row>
    <row r="45" spans="1:22" ht="16.5" thickBot="1">
      <c r="A45" s="669"/>
      <c r="B45" s="670" t="s">
        <v>55</v>
      </c>
      <c r="C45" s="671"/>
      <c r="D45" s="398">
        <f>+D42+D43+D44</f>
        <v>75004000</v>
      </c>
      <c r="E45" s="398">
        <f t="shared" ref="E45:M45" si="7">+E42+E43+E44</f>
        <v>13211000</v>
      </c>
      <c r="F45" s="398">
        <f t="shared" si="7"/>
        <v>14100000</v>
      </c>
      <c r="G45" s="398">
        <f t="shared" si="7"/>
        <v>0</v>
      </c>
      <c r="H45" s="398">
        <f t="shared" si="7"/>
        <v>0</v>
      </c>
      <c r="I45" s="398">
        <f t="shared" si="7"/>
        <v>0</v>
      </c>
      <c r="J45" s="398">
        <f t="shared" si="7"/>
        <v>0</v>
      </c>
      <c r="K45" s="398">
        <f t="shared" si="7"/>
        <v>0</v>
      </c>
      <c r="L45" s="398">
        <f t="shared" si="7"/>
        <v>381000</v>
      </c>
      <c r="M45" s="398">
        <f t="shared" si="7"/>
        <v>0</v>
      </c>
      <c r="N45" s="398">
        <f>+N42+N44+N43</f>
        <v>102696000</v>
      </c>
      <c r="O45" s="434">
        <v>17</v>
      </c>
      <c r="P45" s="160"/>
      <c r="Q45" s="37"/>
      <c r="R45" s="37"/>
      <c r="S45" s="37"/>
      <c r="T45" s="37"/>
      <c r="U45" s="37"/>
      <c r="V45" s="37"/>
    </row>
    <row r="46" spans="1:22" ht="18.95" customHeight="1" thickBot="1">
      <c r="A46" s="669" t="s">
        <v>41</v>
      </c>
      <c r="B46" s="257" t="s">
        <v>288</v>
      </c>
      <c r="C46" s="231" t="s">
        <v>290</v>
      </c>
      <c r="D46" s="396">
        <v>2855400</v>
      </c>
      <c r="E46" s="396">
        <v>405195</v>
      </c>
      <c r="F46" s="396">
        <f>35000+950000+50000+100000+2300000+300000+10000+2900000+60000+1600000+60000</f>
        <v>8365000</v>
      </c>
      <c r="G46" s="396">
        <v>120000</v>
      </c>
      <c r="H46" s="397">
        <v>0</v>
      </c>
      <c r="I46" s="396">
        <v>0</v>
      </c>
      <c r="J46" s="397">
        <v>0</v>
      </c>
      <c r="K46" s="396"/>
      <c r="L46" s="396">
        <v>0</v>
      </c>
      <c r="M46" s="396">
        <v>0</v>
      </c>
      <c r="N46" s="398">
        <f>SUM(D46:M46)</f>
        <v>11745595</v>
      </c>
      <c r="O46" s="435">
        <v>3</v>
      </c>
      <c r="P46" s="37"/>
      <c r="Q46" s="37"/>
      <c r="R46" s="37"/>
      <c r="S46" s="37"/>
      <c r="T46" s="37"/>
      <c r="U46" s="37"/>
      <c r="V46" s="37"/>
    </row>
    <row r="47" spans="1:22" ht="30.75" customHeight="1" thickBot="1">
      <c r="A47" s="669"/>
      <c r="B47" s="541" t="s">
        <v>492</v>
      </c>
      <c r="C47" s="542" t="s">
        <v>493</v>
      </c>
      <c r="D47" s="396">
        <v>0</v>
      </c>
      <c r="E47" s="396">
        <v>0</v>
      </c>
      <c r="F47" s="396">
        <f>200000+100000+200000+50000</f>
        <v>550000</v>
      </c>
      <c r="G47" s="396">
        <v>0</v>
      </c>
      <c r="H47" s="396">
        <v>0</v>
      </c>
      <c r="I47" s="396">
        <v>0</v>
      </c>
      <c r="J47" s="396">
        <v>0</v>
      </c>
      <c r="K47" s="396">
        <v>0</v>
      </c>
      <c r="L47" s="396">
        <v>0</v>
      </c>
      <c r="M47" s="396">
        <v>0</v>
      </c>
      <c r="N47" s="398">
        <f t="shared" ref="N47:N49" si="8">SUM(D47:M47)</f>
        <v>550000</v>
      </c>
      <c r="O47" s="435">
        <v>0</v>
      </c>
      <c r="P47" s="37"/>
      <c r="Q47" s="37"/>
      <c r="R47" s="37"/>
      <c r="S47" s="37"/>
      <c r="T47" s="37"/>
      <c r="U47" s="37"/>
      <c r="V47" s="37"/>
    </row>
    <row r="48" spans="1:22" ht="18.95" customHeight="1" thickBot="1">
      <c r="A48" s="669"/>
      <c r="B48" s="541" t="s">
        <v>494</v>
      </c>
      <c r="C48" s="456" t="s">
        <v>495</v>
      </c>
      <c r="D48" s="396">
        <f>420000+3511200</f>
        <v>3931200</v>
      </c>
      <c r="E48" s="396">
        <v>614460</v>
      </c>
      <c r="F48" s="396">
        <f>50000+50000</f>
        <v>100000</v>
      </c>
      <c r="G48" s="396">
        <v>0</v>
      </c>
      <c r="H48" s="396">
        <v>0</v>
      </c>
      <c r="I48" s="396">
        <v>0</v>
      </c>
      <c r="J48" s="396">
        <v>0</v>
      </c>
      <c r="K48" s="396">
        <v>0</v>
      </c>
      <c r="L48" s="396">
        <v>0</v>
      </c>
      <c r="M48" s="396">
        <v>0</v>
      </c>
      <c r="N48" s="398">
        <f t="shared" si="8"/>
        <v>4645660</v>
      </c>
      <c r="O48" s="435">
        <v>0</v>
      </c>
      <c r="P48" s="37"/>
      <c r="Q48" s="37"/>
      <c r="R48" s="37"/>
      <c r="S48" s="37"/>
      <c r="T48" s="37"/>
      <c r="U48" s="37"/>
      <c r="V48" s="37"/>
    </row>
    <row r="49" spans="1:22" ht="32.25" customHeight="1" thickBot="1">
      <c r="A49" s="669"/>
      <c r="B49" s="541" t="s">
        <v>496</v>
      </c>
      <c r="C49" s="542" t="s">
        <v>497</v>
      </c>
      <c r="D49" s="396">
        <v>0</v>
      </c>
      <c r="E49" s="396">
        <v>0</v>
      </c>
      <c r="F49" s="396">
        <v>0</v>
      </c>
      <c r="G49" s="396">
        <v>0</v>
      </c>
      <c r="H49" s="396">
        <v>0</v>
      </c>
      <c r="I49" s="396">
        <v>0</v>
      </c>
      <c r="J49" s="396">
        <v>0</v>
      </c>
      <c r="K49" s="396">
        <v>0</v>
      </c>
      <c r="L49" s="396">
        <v>0</v>
      </c>
      <c r="M49" s="396">
        <v>0</v>
      </c>
      <c r="N49" s="398">
        <f t="shared" si="8"/>
        <v>0</v>
      </c>
      <c r="O49" s="435">
        <v>0</v>
      </c>
      <c r="P49" s="37"/>
      <c r="Q49" s="37"/>
      <c r="R49" s="37"/>
      <c r="S49" s="37"/>
      <c r="T49" s="37"/>
      <c r="U49" s="37"/>
      <c r="V49" s="37"/>
    </row>
    <row r="50" spans="1:22" ht="22.5" customHeight="1" thickBot="1">
      <c r="A50" s="669"/>
      <c r="B50" s="670" t="s">
        <v>289</v>
      </c>
      <c r="C50" s="671"/>
      <c r="D50" s="398">
        <f>SUM(+D46+D47+D48+D49)</f>
        <v>6786600</v>
      </c>
      <c r="E50" s="398">
        <f t="shared" ref="E50:M50" si="9">SUM(+E46+E47+E48+E49)</f>
        <v>1019655</v>
      </c>
      <c r="F50" s="398">
        <f t="shared" si="9"/>
        <v>9015000</v>
      </c>
      <c r="G50" s="398">
        <f t="shared" si="9"/>
        <v>120000</v>
      </c>
      <c r="H50" s="398">
        <f t="shared" si="9"/>
        <v>0</v>
      </c>
      <c r="I50" s="398">
        <f t="shared" si="9"/>
        <v>0</v>
      </c>
      <c r="J50" s="398">
        <f t="shared" si="9"/>
        <v>0</v>
      </c>
      <c r="K50" s="398">
        <f t="shared" si="9"/>
        <v>0</v>
      </c>
      <c r="L50" s="398">
        <f t="shared" si="9"/>
        <v>0</v>
      </c>
      <c r="M50" s="398">
        <f t="shared" si="9"/>
        <v>0</v>
      </c>
      <c r="N50" s="398">
        <f>SUM(N46:N49)</f>
        <v>16941255</v>
      </c>
      <c r="O50" s="434">
        <v>3</v>
      </c>
      <c r="P50" s="160"/>
      <c r="Q50" s="37"/>
      <c r="R50" s="37"/>
      <c r="S50" s="37"/>
      <c r="T50" s="37"/>
      <c r="U50" s="37"/>
      <c r="V50" s="37"/>
    </row>
    <row r="51" spans="1:22" ht="15.75" customHeight="1" thickBot="1">
      <c r="A51" s="487"/>
      <c r="B51" s="505" t="s">
        <v>424</v>
      </c>
      <c r="C51" s="401" t="s">
        <v>425</v>
      </c>
      <c r="D51" s="396">
        <v>0</v>
      </c>
      <c r="E51" s="396">
        <v>0</v>
      </c>
      <c r="F51" s="396">
        <f>930000+60000</f>
        <v>990000</v>
      </c>
      <c r="G51" s="396">
        <v>0</v>
      </c>
      <c r="H51" s="396">
        <v>0</v>
      </c>
      <c r="I51" s="396">
        <v>0</v>
      </c>
      <c r="J51" s="396">
        <v>0</v>
      </c>
      <c r="K51" s="396">
        <v>0</v>
      </c>
      <c r="L51" s="396">
        <v>0</v>
      </c>
      <c r="M51" s="396">
        <v>0</v>
      </c>
      <c r="N51" s="398">
        <f>SUM(D51:M51)</f>
        <v>990000</v>
      </c>
      <c r="O51" s="435"/>
      <c r="P51" s="37"/>
      <c r="Q51" s="37"/>
      <c r="R51" s="37"/>
      <c r="S51" s="37"/>
      <c r="T51" s="37"/>
      <c r="U51" s="37"/>
      <c r="V51" s="37"/>
    </row>
    <row r="52" spans="1:22" ht="15.75" customHeight="1" thickBot="1">
      <c r="A52" s="669" t="s">
        <v>43</v>
      </c>
      <c r="B52" s="505" t="s">
        <v>293</v>
      </c>
      <c r="C52" s="401" t="s">
        <v>291</v>
      </c>
      <c r="D52" s="396">
        <v>3642400</v>
      </c>
      <c r="E52" s="396">
        <v>619920</v>
      </c>
      <c r="F52" s="396">
        <f>2460000-990000</f>
        <v>1470000</v>
      </c>
      <c r="G52" s="396">
        <v>0</v>
      </c>
      <c r="H52" s="397">
        <v>0</v>
      </c>
      <c r="I52" s="396">
        <v>0</v>
      </c>
      <c r="J52" s="397">
        <v>0</v>
      </c>
      <c r="K52" s="396"/>
      <c r="L52" s="396">
        <v>50800</v>
      </c>
      <c r="M52" s="396">
        <v>0</v>
      </c>
      <c r="N52" s="398">
        <f>SUM(D52:M52)</f>
        <v>5783120</v>
      </c>
      <c r="O52" s="435">
        <v>1</v>
      </c>
      <c r="P52" s="37"/>
      <c r="Q52" s="37"/>
      <c r="R52" s="37"/>
      <c r="S52" s="37"/>
      <c r="T52" s="37"/>
      <c r="U52" s="37"/>
      <c r="V52" s="37"/>
    </row>
    <row r="53" spans="1:22" ht="21" customHeight="1" thickBot="1">
      <c r="A53" s="669"/>
      <c r="B53" s="670" t="s">
        <v>292</v>
      </c>
      <c r="C53" s="671"/>
      <c r="D53" s="398">
        <f>SUM(D51:D52)</f>
        <v>3642400</v>
      </c>
      <c r="E53" s="398">
        <f t="shared" ref="E53:M53" si="10">SUM(E51:E52)</f>
        <v>619920</v>
      </c>
      <c r="F53" s="398">
        <f t="shared" si="10"/>
        <v>2460000</v>
      </c>
      <c r="G53" s="398">
        <f t="shared" si="10"/>
        <v>0</v>
      </c>
      <c r="H53" s="398">
        <f t="shared" si="10"/>
        <v>0</v>
      </c>
      <c r="I53" s="398">
        <f t="shared" si="10"/>
        <v>0</v>
      </c>
      <c r="J53" s="398">
        <f t="shared" si="10"/>
        <v>0</v>
      </c>
      <c r="K53" s="398">
        <f t="shared" si="10"/>
        <v>0</v>
      </c>
      <c r="L53" s="398">
        <f t="shared" si="10"/>
        <v>50800</v>
      </c>
      <c r="M53" s="398">
        <f t="shared" si="10"/>
        <v>0</v>
      </c>
      <c r="N53" s="398">
        <f>+N51+N52</f>
        <v>6773120</v>
      </c>
      <c r="O53" s="434">
        <v>1</v>
      </c>
      <c r="P53" s="160"/>
      <c r="Q53" s="37"/>
      <c r="R53" s="37"/>
      <c r="S53" s="37"/>
      <c r="T53" s="37"/>
      <c r="U53" s="37"/>
      <c r="V53" s="37"/>
    </row>
    <row r="54" spans="1:22" ht="21" customHeight="1" thickBot="1">
      <c r="A54" s="672" t="s">
        <v>213</v>
      </c>
      <c r="B54" s="261" t="s">
        <v>294</v>
      </c>
      <c r="C54" s="262" t="s">
        <v>284</v>
      </c>
      <c r="D54" s="431">
        <f>50000+12930925</f>
        <v>12980925</v>
      </c>
      <c r="E54" s="431">
        <v>2262912</v>
      </c>
      <c r="F54" s="431">
        <f>20000+100000+500000+120000+100000+20000+100000</f>
        <v>960000</v>
      </c>
      <c r="G54" s="431">
        <v>0</v>
      </c>
      <c r="H54" s="432">
        <v>0</v>
      </c>
      <c r="I54" s="431">
        <v>0</v>
      </c>
      <c r="J54" s="432">
        <v>0</v>
      </c>
      <c r="K54" s="396">
        <v>0</v>
      </c>
      <c r="L54" s="431">
        <f>160000+45000</f>
        <v>205000</v>
      </c>
      <c r="M54" s="431">
        <v>0</v>
      </c>
      <c r="N54" s="399">
        <f t="shared" ref="N54:N61" si="11">SUM(D54:M54)</f>
        <v>16408837</v>
      </c>
      <c r="O54" s="433">
        <v>4</v>
      </c>
      <c r="P54" s="37"/>
      <c r="Q54" s="37"/>
      <c r="R54" s="37"/>
      <c r="S54" s="37"/>
      <c r="T54" s="37"/>
      <c r="U54" s="37"/>
      <c r="V54" s="37"/>
    </row>
    <row r="55" spans="1:22" ht="21" customHeight="1" thickBot="1">
      <c r="A55" s="673"/>
      <c r="B55" s="261" t="s">
        <v>295</v>
      </c>
      <c r="C55" s="262" t="s">
        <v>285</v>
      </c>
      <c r="D55" s="431">
        <f>200000+6693413+50000</f>
        <v>6943413</v>
      </c>
      <c r="E55" s="431">
        <v>1171347</v>
      </c>
      <c r="F55" s="431">
        <f>60000+50000+40000+450000+20000+50000+40000+250000</f>
        <v>960000</v>
      </c>
      <c r="G55" s="431">
        <v>0</v>
      </c>
      <c r="H55" s="432">
        <v>0</v>
      </c>
      <c r="I55" s="431">
        <v>0</v>
      </c>
      <c r="J55" s="432">
        <v>0</v>
      </c>
      <c r="K55" s="396">
        <v>0</v>
      </c>
      <c r="L55" s="431">
        <v>0</v>
      </c>
      <c r="M55" s="431">
        <v>0</v>
      </c>
      <c r="N55" s="399">
        <f t="shared" si="11"/>
        <v>9074760</v>
      </c>
      <c r="O55" s="433">
        <v>2</v>
      </c>
      <c r="P55" s="37"/>
      <c r="Q55" s="37"/>
      <c r="R55" s="37"/>
      <c r="S55" s="37"/>
      <c r="T55" s="37"/>
      <c r="U55" s="37"/>
      <c r="V55" s="37"/>
    </row>
    <row r="56" spans="1:22" ht="21" customHeight="1" thickBot="1">
      <c r="A56" s="673"/>
      <c r="B56" s="261" t="s">
        <v>296</v>
      </c>
      <c r="C56" s="262" t="s">
        <v>286</v>
      </c>
      <c r="D56" s="431">
        <f>447000+4738892+50000+50000</f>
        <v>5285892</v>
      </c>
      <c r="E56" s="431">
        <f>829306+78225</f>
        <v>907531</v>
      </c>
      <c r="F56" s="431">
        <f>140000+900000+80000+20000+450000+150000+50000+660000+50000+80000+600000</f>
        <v>3180000</v>
      </c>
      <c r="G56" s="431">
        <v>0</v>
      </c>
      <c r="H56" s="432">
        <v>0</v>
      </c>
      <c r="I56" s="431">
        <v>0</v>
      </c>
      <c r="J56" s="432">
        <v>0</v>
      </c>
      <c r="K56" s="396">
        <v>0</v>
      </c>
      <c r="L56" s="431">
        <f>45000+160000</f>
        <v>205000</v>
      </c>
      <c r="M56" s="431">
        <v>0</v>
      </c>
      <c r="N56" s="399">
        <f t="shared" si="11"/>
        <v>9578423</v>
      </c>
      <c r="O56" s="433">
        <v>2</v>
      </c>
      <c r="P56" s="37"/>
      <c r="Q56" s="37"/>
      <c r="R56" s="37"/>
      <c r="S56" s="37"/>
      <c r="T56" s="37"/>
      <c r="U56" s="37"/>
      <c r="V56" s="37"/>
    </row>
    <row r="57" spans="1:22" ht="40.5" customHeight="1" thickBot="1">
      <c r="A57" s="673"/>
      <c r="B57" s="261" t="s">
        <v>498</v>
      </c>
      <c r="C57" s="543" t="s">
        <v>499</v>
      </c>
      <c r="D57" s="396">
        <v>0</v>
      </c>
      <c r="E57" s="396">
        <v>0</v>
      </c>
      <c r="F57" s="431">
        <f>250000+20000+800000</f>
        <v>1070000</v>
      </c>
      <c r="G57" s="396">
        <v>0</v>
      </c>
      <c r="H57" s="396">
        <v>0</v>
      </c>
      <c r="I57" s="396">
        <v>0</v>
      </c>
      <c r="J57" s="396">
        <v>0</v>
      </c>
      <c r="K57" s="396">
        <v>0</v>
      </c>
      <c r="L57" s="396">
        <v>0</v>
      </c>
      <c r="M57" s="396">
        <v>0</v>
      </c>
      <c r="N57" s="399">
        <f t="shared" si="11"/>
        <v>1070000</v>
      </c>
      <c r="O57" s="433">
        <v>0</v>
      </c>
      <c r="P57" s="37"/>
      <c r="Q57" s="37"/>
      <c r="R57" s="37"/>
      <c r="S57" s="37"/>
      <c r="T57" s="37"/>
      <c r="U57" s="37"/>
      <c r="V57" s="37"/>
    </row>
    <row r="58" spans="1:22" ht="21" customHeight="1" thickBot="1">
      <c r="A58" s="673"/>
      <c r="B58" s="261" t="s">
        <v>297</v>
      </c>
      <c r="C58" s="262" t="s">
        <v>287</v>
      </c>
      <c r="D58" s="431">
        <f>2625624+150000</f>
        <v>2775624</v>
      </c>
      <c r="E58" s="431">
        <v>459484</v>
      </c>
      <c r="F58" s="431">
        <f>50000+4000000+200000+50000+20000+450000+30000+30000+14000000</f>
        <v>18830000</v>
      </c>
      <c r="G58" s="431">
        <v>0</v>
      </c>
      <c r="H58" s="432">
        <v>0</v>
      </c>
      <c r="I58" s="431">
        <v>0</v>
      </c>
      <c r="J58" s="432">
        <v>0</v>
      </c>
      <c r="K58" s="396">
        <v>0</v>
      </c>
      <c r="L58" s="431">
        <v>0</v>
      </c>
      <c r="M58" s="431">
        <v>0</v>
      </c>
      <c r="N58" s="399">
        <f t="shared" si="11"/>
        <v>22065108</v>
      </c>
      <c r="O58" s="433">
        <v>1</v>
      </c>
      <c r="P58" s="37"/>
      <c r="Q58" s="37"/>
      <c r="R58" s="37"/>
      <c r="S58" s="37"/>
      <c r="T58" s="37"/>
      <c r="U58" s="37"/>
      <c r="V58" s="37"/>
    </row>
    <row r="59" spans="1:22" ht="21" customHeight="1" thickBot="1">
      <c r="A59" s="673"/>
      <c r="B59" s="261" t="s">
        <v>263</v>
      </c>
      <c r="C59" s="262" t="s">
        <v>335</v>
      </c>
      <c r="D59" s="431">
        <v>0</v>
      </c>
      <c r="E59" s="431">
        <v>0</v>
      </c>
      <c r="F59" s="431">
        <f>1100000+350000</f>
        <v>1450000</v>
      </c>
      <c r="G59" s="431">
        <v>0</v>
      </c>
      <c r="H59" s="432">
        <v>0</v>
      </c>
      <c r="I59" s="431">
        <v>0</v>
      </c>
      <c r="J59" s="432">
        <v>0</v>
      </c>
      <c r="K59" s="396">
        <v>0</v>
      </c>
      <c r="L59" s="431">
        <v>0</v>
      </c>
      <c r="M59" s="431">
        <v>0</v>
      </c>
      <c r="N59" s="399">
        <f t="shared" si="11"/>
        <v>1450000</v>
      </c>
      <c r="O59" s="433">
        <v>0</v>
      </c>
      <c r="P59" s="37"/>
      <c r="Q59" s="37"/>
      <c r="R59" s="37"/>
      <c r="S59" s="37"/>
      <c r="T59" s="37"/>
      <c r="U59" s="37"/>
      <c r="V59" s="37"/>
    </row>
    <row r="60" spans="1:22" ht="21" customHeight="1" thickBot="1">
      <c r="A60" s="673"/>
      <c r="B60" s="261" t="s">
        <v>262</v>
      </c>
      <c r="C60" s="262" t="s">
        <v>334</v>
      </c>
      <c r="D60" s="431">
        <v>0</v>
      </c>
      <c r="E60" s="431">
        <v>0</v>
      </c>
      <c r="F60" s="431">
        <f>950000+20000+20000+4600000</f>
        <v>5590000</v>
      </c>
      <c r="G60" s="431">
        <v>0</v>
      </c>
      <c r="H60" s="432">
        <v>0</v>
      </c>
      <c r="I60" s="431">
        <v>0</v>
      </c>
      <c r="J60" s="432">
        <v>0</v>
      </c>
      <c r="K60" s="396">
        <v>0</v>
      </c>
      <c r="L60" s="431">
        <v>0</v>
      </c>
      <c r="M60" s="431">
        <v>0</v>
      </c>
      <c r="N60" s="399">
        <f t="shared" si="11"/>
        <v>5590000</v>
      </c>
      <c r="O60" s="433">
        <v>0</v>
      </c>
      <c r="P60" s="37"/>
      <c r="Q60" s="37"/>
      <c r="R60" s="37"/>
      <c r="S60" s="37"/>
      <c r="T60" s="37"/>
      <c r="U60" s="37"/>
      <c r="V60" s="37"/>
    </row>
    <row r="61" spans="1:22" ht="21" customHeight="1" thickBot="1">
      <c r="A61" s="673"/>
      <c r="B61" s="261" t="s">
        <v>229</v>
      </c>
      <c r="C61" s="262" t="s">
        <v>280</v>
      </c>
      <c r="D61" s="431">
        <f>23538400+50000+100000</f>
        <v>23688400</v>
      </c>
      <c r="E61" s="431">
        <v>4119220</v>
      </c>
      <c r="F61" s="431">
        <f>20000+24500000+30000+3000000+60000+450000+5500000+500000</f>
        <v>34060000</v>
      </c>
      <c r="G61" s="431">
        <v>0</v>
      </c>
      <c r="H61" s="432">
        <v>0</v>
      </c>
      <c r="I61" s="431">
        <v>0</v>
      </c>
      <c r="J61" s="432">
        <v>0</v>
      </c>
      <c r="K61" s="396">
        <v>0</v>
      </c>
      <c r="L61" s="431">
        <v>0</v>
      </c>
      <c r="M61" s="431">
        <v>0</v>
      </c>
      <c r="N61" s="399">
        <f t="shared" si="11"/>
        <v>61867620</v>
      </c>
      <c r="O61" s="433">
        <v>9</v>
      </c>
      <c r="P61" s="37"/>
      <c r="Q61" s="37"/>
      <c r="R61" s="37"/>
      <c r="S61" s="37"/>
      <c r="T61" s="37"/>
      <c r="U61" s="37"/>
      <c r="V61" s="37"/>
    </row>
    <row r="62" spans="1:22" ht="33" customHeight="1" thickBot="1">
      <c r="A62" s="674"/>
      <c r="B62" s="675" t="s">
        <v>298</v>
      </c>
      <c r="C62" s="676"/>
      <c r="D62" s="398">
        <f>SUM(D54:D61)</f>
        <v>51674254</v>
      </c>
      <c r="E62" s="398">
        <f>SUM(E54:E61)</f>
        <v>8920494</v>
      </c>
      <c r="F62" s="398">
        <f>SUM(F54:F61)</f>
        <v>66100000</v>
      </c>
      <c r="G62" s="398">
        <f t="shared" ref="G62:N62" si="12">SUM(G54:G61)</f>
        <v>0</v>
      </c>
      <c r="H62" s="544">
        <f t="shared" si="12"/>
        <v>0</v>
      </c>
      <c r="I62" s="398">
        <f t="shared" si="12"/>
        <v>0</v>
      </c>
      <c r="J62" s="544">
        <f t="shared" si="12"/>
        <v>0</v>
      </c>
      <c r="K62" s="398">
        <f>SUM(K54:K61)</f>
        <v>0</v>
      </c>
      <c r="L62" s="398">
        <f t="shared" si="12"/>
        <v>410000</v>
      </c>
      <c r="M62" s="398">
        <f t="shared" si="12"/>
        <v>0</v>
      </c>
      <c r="N62" s="398">
        <f t="shared" si="12"/>
        <v>127104748</v>
      </c>
      <c r="O62" s="434">
        <f>SUM(O54:O61)</f>
        <v>18</v>
      </c>
      <c r="P62" s="160"/>
      <c r="Q62" s="37"/>
      <c r="R62" s="37"/>
      <c r="S62" s="37"/>
      <c r="T62" s="37"/>
      <c r="U62" s="37"/>
      <c r="V62" s="37"/>
    </row>
    <row r="63" spans="1:22" ht="26.25" customHeight="1" thickBot="1">
      <c r="A63" s="677" t="s">
        <v>56</v>
      </c>
      <c r="B63" s="677"/>
      <c r="C63" s="677"/>
      <c r="D63" s="398">
        <f t="shared" ref="D63:O63" si="13">SUM(D41,D45,D50,D53,D62)</f>
        <v>222999810</v>
      </c>
      <c r="E63" s="398">
        <f t="shared" si="13"/>
        <v>37774837</v>
      </c>
      <c r="F63" s="398">
        <f t="shared" si="13"/>
        <v>200426841</v>
      </c>
      <c r="G63" s="398">
        <f t="shared" si="13"/>
        <v>95627898</v>
      </c>
      <c r="H63" s="544">
        <f t="shared" si="13"/>
        <v>3147000</v>
      </c>
      <c r="I63" s="398">
        <f t="shared" si="13"/>
        <v>98896424</v>
      </c>
      <c r="J63" s="398">
        <f t="shared" si="13"/>
        <v>10751039</v>
      </c>
      <c r="K63" s="398">
        <f t="shared" si="13"/>
        <v>0</v>
      </c>
      <c r="L63" s="398">
        <f t="shared" si="13"/>
        <v>13396044</v>
      </c>
      <c r="M63" s="398">
        <f t="shared" si="13"/>
        <v>46420058</v>
      </c>
      <c r="N63" s="398">
        <f t="shared" si="13"/>
        <v>729439951</v>
      </c>
      <c r="O63" s="434">
        <f t="shared" si="13"/>
        <v>86</v>
      </c>
      <c r="P63" s="37"/>
      <c r="Q63" s="37"/>
      <c r="R63" s="37"/>
      <c r="S63" s="37"/>
      <c r="T63" s="37"/>
      <c r="U63" s="37"/>
      <c r="V63" s="37"/>
    </row>
    <row r="65" spans="14:14">
      <c r="N65" s="44"/>
    </row>
    <row r="66" spans="14:14">
      <c r="N66" s="44"/>
    </row>
    <row r="67" spans="14:14">
      <c r="N67" s="458"/>
    </row>
  </sheetData>
  <mergeCells count="19">
    <mergeCell ref="A1:N1"/>
    <mergeCell ref="A2:N2"/>
    <mergeCell ref="A4:A5"/>
    <mergeCell ref="B4:B5"/>
    <mergeCell ref="C4:C5"/>
    <mergeCell ref="D4:L4"/>
    <mergeCell ref="A63:C63"/>
    <mergeCell ref="N4:N5"/>
    <mergeCell ref="A6:A41"/>
    <mergeCell ref="B41:C41"/>
    <mergeCell ref="A42:A45"/>
    <mergeCell ref="B45:C45"/>
    <mergeCell ref="A46:A50"/>
    <mergeCell ref="B50:C50"/>
    <mergeCell ref="O4:O5"/>
    <mergeCell ref="A52:A53"/>
    <mergeCell ref="B53:C53"/>
    <mergeCell ref="A54:A62"/>
    <mergeCell ref="B62:C62"/>
  </mergeCells>
  <pageMargins left="0.74803149606299213" right="0.74803149606299213" top="0.98425196850393704" bottom="0.98425196850393704" header="0.51181102362204722" footer="0.51181102362204722"/>
  <pageSetup paperSize="8" scale="33" orientation="landscape" r:id="rId1"/>
  <headerFooter alignWithMargins="0"/>
  <colBreaks count="1" manualBreakCount="1">
    <brk id="14" max="1048575" man="1"/>
  </colBreak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theme="9" tint="-0.249977111117893"/>
    <pageSetUpPr fitToPage="1"/>
  </sheetPr>
  <dimension ref="A1:AG69"/>
  <sheetViews>
    <sheetView view="pageBreakPreview" zoomScale="60" zoomScaleNormal="80" workbookViewId="0">
      <pane xSplit="2" ySplit="5" topLeftCell="C6" activePane="bottomRight" state="frozen"/>
      <selection activeCell="C5" sqref="C5"/>
      <selection pane="topRight" activeCell="C5" sqref="C5"/>
      <selection pane="bottomLeft" activeCell="C5" sqref="C5"/>
      <selection pane="bottomRight" sqref="A1:J1"/>
    </sheetView>
  </sheetViews>
  <sheetFormatPr defaultColWidth="8.85546875" defaultRowHeight="12.75"/>
  <cols>
    <col min="1" max="1" width="8.28515625" style="39" customWidth="1"/>
    <col min="2" max="2" width="12.140625" style="39" customWidth="1"/>
    <col min="3" max="3" width="49.5703125" style="39" customWidth="1"/>
    <col min="4" max="5" width="16" style="39" customWidth="1"/>
    <col min="6" max="7" width="14.42578125" style="39" customWidth="1"/>
    <col min="8" max="9" width="15.28515625" style="39" customWidth="1"/>
    <col min="10" max="10" width="18.5703125" style="39" customWidth="1"/>
    <col min="11" max="13" width="14.85546875" style="39" customWidth="1"/>
    <col min="14" max="15" width="16.85546875" style="39" customWidth="1"/>
    <col min="16" max="17" width="18" style="39" customWidth="1"/>
    <col min="18" max="18" width="15.85546875" style="39" customWidth="1"/>
    <col min="19" max="19" width="7.42578125" style="39" bestFit="1" customWidth="1"/>
    <col min="20" max="22" width="10.5703125" style="39" bestFit="1" customWidth="1"/>
    <col min="23" max="23" width="5.140625" style="45" bestFit="1" customWidth="1"/>
    <col min="24" max="24" width="7.140625" style="39" bestFit="1" customWidth="1"/>
    <col min="25" max="16384" width="8.85546875" style="37"/>
  </cols>
  <sheetData>
    <row r="1" spans="1:33" ht="15.75">
      <c r="A1" s="635" t="s">
        <v>603</v>
      </c>
      <c r="B1" s="635"/>
      <c r="C1" s="635"/>
      <c r="D1" s="635"/>
      <c r="E1" s="635"/>
      <c r="F1" s="635"/>
      <c r="G1" s="635"/>
      <c r="H1" s="635"/>
      <c r="I1" s="635"/>
      <c r="J1" s="635"/>
      <c r="K1" s="36"/>
      <c r="L1" s="36"/>
      <c r="M1" s="36"/>
      <c r="N1" s="36"/>
      <c r="O1" s="36"/>
      <c r="P1" s="36"/>
      <c r="Q1" s="36"/>
      <c r="R1" s="35"/>
      <c r="S1" s="35"/>
      <c r="T1" s="35"/>
      <c r="U1" s="35"/>
      <c r="V1" s="35"/>
      <c r="W1" s="35"/>
      <c r="X1" s="36"/>
      <c r="Y1" s="35"/>
      <c r="Z1" s="36"/>
    </row>
    <row r="2" spans="1:33" ht="33.75" customHeight="1">
      <c r="A2" s="680" t="s">
        <v>595</v>
      </c>
      <c r="B2" s="680"/>
      <c r="C2" s="680"/>
      <c r="D2" s="680"/>
      <c r="E2" s="680"/>
      <c r="F2" s="680"/>
      <c r="G2" s="680"/>
      <c r="H2" s="680"/>
      <c r="I2" s="680"/>
      <c r="J2" s="680"/>
      <c r="K2" s="629"/>
      <c r="L2" s="629"/>
      <c r="M2" s="629"/>
      <c r="N2" s="629"/>
      <c r="O2" s="629"/>
      <c r="P2" s="629"/>
      <c r="Q2" s="629"/>
      <c r="R2" s="223"/>
      <c r="S2" s="223"/>
      <c r="T2" s="223"/>
      <c r="U2" s="223"/>
      <c r="V2" s="223"/>
      <c r="W2" s="223"/>
      <c r="X2" s="223"/>
      <c r="Y2" s="223"/>
      <c r="Z2" s="223"/>
      <c r="AA2" s="223"/>
      <c r="AB2" s="223"/>
      <c r="AC2" s="223"/>
      <c r="AD2" s="223"/>
      <c r="AE2" s="223"/>
      <c r="AF2" s="223"/>
      <c r="AG2" s="38"/>
    </row>
    <row r="3" spans="1:33" ht="16.5" thickBot="1">
      <c r="B3" s="40"/>
      <c r="C3" s="40"/>
      <c r="D3" s="41"/>
      <c r="E3" s="41"/>
      <c r="F3" s="41"/>
      <c r="G3" s="41"/>
      <c r="H3" s="41"/>
      <c r="I3" s="41"/>
      <c r="J3" s="41" t="s">
        <v>320</v>
      </c>
      <c r="K3" s="41"/>
      <c r="L3" s="41"/>
      <c r="M3" s="41"/>
      <c r="N3" s="41"/>
      <c r="O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2"/>
      <c r="AB3" s="42"/>
      <c r="AC3" s="42"/>
      <c r="AD3" s="43"/>
      <c r="AE3" s="39"/>
    </row>
    <row r="4" spans="1:33" ht="39" customHeight="1" thickBot="1">
      <c r="A4" s="681" t="s">
        <v>46</v>
      </c>
      <c r="B4" s="683" t="s">
        <v>318</v>
      </c>
      <c r="C4" s="691" t="s">
        <v>47</v>
      </c>
      <c r="D4" s="692" t="s">
        <v>299</v>
      </c>
      <c r="E4" s="693"/>
      <c r="F4" s="693"/>
      <c r="G4" s="693"/>
      <c r="H4" s="693"/>
      <c r="I4" s="693"/>
      <c r="J4" s="694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</row>
    <row r="5" spans="1:33" ht="114" customHeight="1" thickBot="1">
      <c r="A5" s="682"/>
      <c r="B5" s="684"/>
      <c r="C5" s="686"/>
      <c r="D5" s="556" t="s">
        <v>504</v>
      </c>
      <c r="E5" s="556" t="s">
        <v>505</v>
      </c>
      <c r="F5" s="557" t="s">
        <v>506</v>
      </c>
      <c r="G5" s="557" t="s">
        <v>428</v>
      </c>
      <c r="H5" s="557" t="s">
        <v>433</v>
      </c>
      <c r="I5" s="557" t="s">
        <v>507</v>
      </c>
      <c r="J5" s="558" t="s">
        <v>373</v>
      </c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</row>
    <row r="6" spans="1:33" ht="16.5" thickBot="1">
      <c r="A6" s="669" t="s">
        <v>38</v>
      </c>
      <c r="B6" s="257" t="s">
        <v>223</v>
      </c>
      <c r="C6" s="231" t="s">
        <v>267</v>
      </c>
      <c r="D6" s="396">
        <v>5000</v>
      </c>
      <c r="E6" s="396">
        <v>61262718</v>
      </c>
      <c r="F6" s="550"/>
      <c r="G6" s="550"/>
      <c r="H6" s="550"/>
      <c r="I6" s="554"/>
      <c r="J6" s="459">
        <f t="shared" ref="J6:J37" si="0">+I6+H6+G6+F6+E6+D6</f>
        <v>61267718</v>
      </c>
      <c r="K6" s="160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</row>
    <row r="7" spans="1:33" ht="16.5" thickBot="1">
      <c r="A7" s="669"/>
      <c r="B7" s="257" t="s">
        <v>248</v>
      </c>
      <c r="C7" s="231" t="s">
        <v>328</v>
      </c>
      <c r="D7" s="396">
        <v>60000</v>
      </c>
      <c r="E7" s="550"/>
      <c r="F7" s="550"/>
      <c r="G7" s="550"/>
      <c r="H7" s="550"/>
      <c r="I7" s="554"/>
      <c r="J7" s="459">
        <f t="shared" si="0"/>
        <v>60000</v>
      </c>
      <c r="K7" s="160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</row>
    <row r="8" spans="1:33" ht="16.5" thickBot="1">
      <c r="A8" s="669"/>
      <c r="B8" s="257" t="s">
        <v>249</v>
      </c>
      <c r="C8" s="231" t="s">
        <v>268</v>
      </c>
      <c r="D8" s="396">
        <f>6500000+1900000+300000+700000+20000</f>
        <v>9420000</v>
      </c>
      <c r="E8" s="550"/>
      <c r="F8" s="550"/>
      <c r="G8" s="396">
        <v>12344429</v>
      </c>
      <c r="H8" s="550"/>
      <c r="I8" s="554"/>
      <c r="J8" s="459">
        <f t="shared" si="0"/>
        <v>21764429</v>
      </c>
      <c r="K8" s="160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</row>
    <row r="9" spans="1:33" ht="16.5" thickBot="1">
      <c r="A9" s="669"/>
      <c r="B9" s="257" t="s">
        <v>359</v>
      </c>
      <c r="C9" s="401" t="s">
        <v>360</v>
      </c>
      <c r="D9" s="550"/>
      <c r="E9" s="550"/>
      <c r="F9" s="550"/>
      <c r="G9" s="554"/>
      <c r="H9" s="554"/>
      <c r="I9" s="554"/>
      <c r="J9" s="459">
        <f t="shared" si="0"/>
        <v>0</v>
      </c>
      <c r="K9" s="160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</row>
    <row r="10" spans="1:33" ht="16.5" thickBot="1">
      <c r="A10" s="669"/>
      <c r="B10" s="257" t="s">
        <v>420</v>
      </c>
      <c r="C10" s="401" t="s">
        <v>421</v>
      </c>
      <c r="D10" s="550"/>
      <c r="E10" s="550"/>
      <c r="F10" s="550"/>
      <c r="G10" s="554"/>
      <c r="H10" s="554"/>
      <c r="I10" s="554"/>
      <c r="J10" s="459">
        <f t="shared" si="0"/>
        <v>0</v>
      </c>
      <c r="K10" s="160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</row>
    <row r="11" spans="1:33" ht="16.5" thickBot="1">
      <c r="A11" s="669"/>
      <c r="B11" s="257" t="s">
        <v>251</v>
      </c>
      <c r="C11" s="400" t="s">
        <v>270</v>
      </c>
      <c r="D11" s="550"/>
      <c r="E11" s="550"/>
      <c r="F11" s="550"/>
      <c r="G11" s="396">
        <v>5340192</v>
      </c>
      <c r="H11" s="550"/>
      <c r="I11" s="554"/>
      <c r="J11" s="459">
        <f t="shared" si="0"/>
        <v>5340192</v>
      </c>
      <c r="K11" s="160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</row>
    <row r="12" spans="1:33" ht="16.5" thickBot="1">
      <c r="A12" s="669"/>
      <c r="B12" s="257" t="s">
        <v>371</v>
      </c>
      <c r="C12" s="400" t="s">
        <v>372</v>
      </c>
      <c r="D12" s="550"/>
      <c r="E12" s="550"/>
      <c r="F12" s="550"/>
      <c r="G12" s="396">
        <v>3191900</v>
      </c>
      <c r="H12" s="550"/>
      <c r="I12" s="553"/>
      <c r="J12" s="459">
        <f t="shared" si="0"/>
        <v>3191900</v>
      </c>
      <c r="K12" s="160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</row>
    <row r="13" spans="1:33" ht="16.5" thickBot="1">
      <c r="A13" s="669"/>
      <c r="B13" s="257" t="s">
        <v>252</v>
      </c>
      <c r="C13" s="400" t="s">
        <v>271</v>
      </c>
      <c r="D13" s="550"/>
      <c r="E13" s="550"/>
      <c r="F13" s="550"/>
      <c r="G13" s="550"/>
      <c r="H13" s="550"/>
      <c r="I13" s="553"/>
      <c r="J13" s="459">
        <f t="shared" si="0"/>
        <v>0</v>
      </c>
      <c r="K13" s="160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</row>
    <row r="14" spans="1:33" ht="16.5" thickBot="1">
      <c r="A14" s="669"/>
      <c r="B14" s="260" t="s">
        <v>253</v>
      </c>
      <c r="C14" s="400" t="s">
        <v>329</v>
      </c>
      <c r="D14" s="550"/>
      <c r="E14" s="550"/>
      <c r="F14" s="550"/>
      <c r="G14" s="550"/>
      <c r="H14" s="550"/>
      <c r="I14" s="553"/>
      <c r="J14" s="459">
        <f t="shared" si="0"/>
        <v>0</v>
      </c>
      <c r="K14" s="160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</row>
    <row r="15" spans="1:33" ht="16.5" thickBot="1">
      <c r="A15" s="669"/>
      <c r="B15" s="257" t="s">
        <v>254</v>
      </c>
      <c r="C15" s="400" t="s">
        <v>330</v>
      </c>
      <c r="D15" s="550"/>
      <c r="E15" s="550"/>
      <c r="F15" s="550"/>
      <c r="G15" s="550"/>
      <c r="H15" s="550"/>
      <c r="I15" s="553"/>
      <c r="J15" s="459">
        <f t="shared" si="0"/>
        <v>0</v>
      </c>
      <c r="K15" s="160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</row>
    <row r="16" spans="1:33" ht="16.5" thickBot="1">
      <c r="A16" s="669"/>
      <c r="B16" s="257" t="s">
        <v>255</v>
      </c>
      <c r="C16" s="400" t="s">
        <v>272</v>
      </c>
      <c r="D16" s="396">
        <f>7000000+1890000</f>
        <v>8890000</v>
      </c>
      <c r="E16" s="550"/>
      <c r="F16" s="550"/>
      <c r="G16" s="396">
        <v>24944510</v>
      </c>
      <c r="H16" s="550"/>
      <c r="I16" s="553"/>
      <c r="J16" s="459">
        <f>+I16+H16+G16+F16+E16+D16</f>
        <v>33834510</v>
      </c>
      <c r="K16" s="160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</row>
    <row r="17" spans="1:24" ht="16.5" thickBot="1">
      <c r="A17" s="669"/>
      <c r="B17" s="257" t="s">
        <v>538</v>
      </c>
      <c r="C17" s="400" t="s">
        <v>539</v>
      </c>
      <c r="D17" s="550"/>
      <c r="E17" s="550"/>
      <c r="F17" s="550"/>
      <c r="G17" s="396">
        <v>30103579</v>
      </c>
      <c r="H17" s="550"/>
      <c r="I17" s="553"/>
      <c r="J17" s="459">
        <f>+I17+H17+G17+F17+E17+D17</f>
        <v>30103579</v>
      </c>
      <c r="K17" s="160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</row>
    <row r="18" spans="1:24" s="612" customFormat="1" ht="16.5" thickBot="1">
      <c r="A18" s="669"/>
      <c r="B18" s="402" t="s">
        <v>256</v>
      </c>
      <c r="C18" s="400" t="s">
        <v>273</v>
      </c>
      <c r="D18" s="396">
        <f>6500000+1755000</f>
        <v>8255000</v>
      </c>
      <c r="E18" s="550"/>
      <c r="F18" s="550"/>
      <c r="G18" s="396">
        <v>45378440</v>
      </c>
      <c r="H18" s="550"/>
      <c r="I18" s="553"/>
      <c r="J18" s="459">
        <f t="shared" si="0"/>
        <v>53633440</v>
      </c>
      <c r="K18" s="611"/>
    </row>
    <row r="19" spans="1:24" ht="16.5" thickBot="1">
      <c r="A19" s="669"/>
      <c r="B19" s="257" t="s">
        <v>257</v>
      </c>
      <c r="C19" s="400" t="s">
        <v>48</v>
      </c>
      <c r="D19" s="550"/>
      <c r="E19" s="550"/>
      <c r="F19" s="550"/>
      <c r="G19" s="550"/>
      <c r="H19" s="550"/>
      <c r="I19" s="553"/>
      <c r="J19" s="459">
        <f t="shared" si="0"/>
        <v>0</v>
      </c>
      <c r="K19" s="160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</row>
    <row r="20" spans="1:24" s="612" customFormat="1" ht="16.5" thickBot="1">
      <c r="A20" s="669"/>
      <c r="B20" s="402" t="s">
        <v>225</v>
      </c>
      <c r="C20" s="400" t="s">
        <v>224</v>
      </c>
      <c r="D20" s="550"/>
      <c r="E20" s="550"/>
      <c r="F20" s="550"/>
      <c r="G20" s="396">
        <v>4508070</v>
      </c>
      <c r="H20" s="550"/>
      <c r="I20" s="553"/>
      <c r="J20" s="459">
        <f t="shared" si="0"/>
        <v>4508070</v>
      </c>
      <c r="K20" s="611"/>
    </row>
    <row r="21" spans="1:24" s="612" customFormat="1" ht="16.5" thickBot="1">
      <c r="A21" s="669"/>
      <c r="B21" s="402" t="s">
        <v>226</v>
      </c>
      <c r="C21" s="400" t="s">
        <v>274</v>
      </c>
      <c r="D21" s="396">
        <f>600000+900000+290000+200000</f>
        <v>1990000</v>
      </c>
      <c r="E21" s="550"/>
      <c r="F21" s="550"/>
      <c r="G21" s="447">
        <v>56437995</v>
      </c>
      <c r="H21" s="550"/>
      <c r="I21" s="553"/>
      <c r="J21" s="459">
        <f t="shared" si="0"/>
        <v>58427995</v>
      </c>
      <c r="K21" s="611"/>
    </row>
    <row r="22" spans="1:24" s="612" customFormat="1" ht="16.5" thickBot="1">
      <c r="A22" s="669"/>
      <c r="B22" s="402" t="s">
        <v>258</v>
      </c>
      <c r="C22" s="400" t="s">
        <v>275</v>
      </c>
      <c r="D22" s="396">
        <v>450000</v>
      </c>
      <c r="E22" s="550"/>
      <c r="F22" s="550"/>
      <c r="G22" s="554"/>
      <c r="H22" s="550"/>
      <c r="I22" s="553"/>
      <c r="J22" s="459">
        <f t="shared" si="0"/>
        <v>450000</v>
      </c>
      <c r="K22" s="611"/>
    </row>
    <row r="23" spans="1:24" ht="16.5" thickBot="1">
      <c r="A23" s="669"/>
      <c r="B23" s="257" t="s">
        <v>260</v>
      </c>
      <c r="C23" s="401" t="s">
        <v>277</v>
      </c>
      <c r="D23" s="550"/>
      <c r="E23" s="550"/>
      <c r="F23" s="550"/>
      <c r="G23" s="554"/>
      <c r="H23" s="550"/>
      <c r="I23" s="553"/>
      <c r="J23" s="459">
        <f t="shared" si="0"/>
        <v>0</v>
      </c>
      <c r="K23" s="160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</row>
    <row r="24" spans="1:24" ht="16.5" thickBot="1">
      <c r="A24" s="669"/>
      <c r="B24" s="257" t="s">
        <v>259</v>
      </c>
      <c r="C24" s="400" t="s">
        <v>276</v>
      </c>
      <c r="D24" s="550"/>
      <c r="E24" s="550"/>
      <c r="F24" s="550"/>
      <c r="G24" s="554"/>
      <c r="H24" s="550"/>
      <c r="I24" s="553"/>
      <c r="J24" s="459">
        <f t="shared" si="0"/>
        <v>0</v>
      </c>
      <c r="K24" s="160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</row>
    <row r="25" spans="1:24" ht="16.5" thickBot="1">
      <c r="A25" s="669"/>
      <c r="B25" s="257" t="s">
        <v>228</v>
      </c>
      <c r="C25" s="401" t="s">
        <v>49</v>
      </c>
      <c r="D25" s="550"/>
      <c r="E25" s="396">
        <v>20354748</v>
      </c>
      <c r="F25" s="550"/>
      <c r="G25" s="554"/>
      <c r="H25" s="550"/>
      <c r="I25" s="553"/>
      <c r="J25" s="459">
        <f t="shared" si="0"/>
        <v>20354748</v>
      </c>
      <c r="K25" s="160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</row>
    <row r="26" spans="1:24" ht="16.5" thickBot="1">
      <c r="A26" s="669"/>
      <c r="B26" s="259" t="s">
        <v>261</v>
      </c>
      <c r="C26" s="401" t="s">
        <v>278</v>
      </c>
      <c r="D26" s="550"/>
      <c r="E26" s="550"/>
      <c r="F26" s="550"/>
      <c r="G26" s="554"/>
      <c r="H26" s="550"/>
      <c r="I26" s="553"/>
      <c r="J26" s="459">
        <f t="shared" si="0"/>
        <v>0</v>
      </c>
      <c r="K26" s="160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</row>
    <row r="27" spans="1:24" ht="16.5" thickBot="1">
      <c r="A27" s="669"/>
      <c r="B27" s="257" t="s">
        <v>331</v>
      </c>
      <c r="C27" s="401" t="s">
        <v>427</v>
      </c>
      <c r="D27" s="550"/>
      <c r="E27" s="550"/>
      <c r="F27" s="396">
        <v>5096029</v>
      </c>
      <c r="G27" s="554"/>
      <c r="H27" s="550"/>
      <c r="I27" s="553"/>
      <c r="J27" s="459">
        <f t="shared" si="0"/>
        <v>5096029</v>
      </c>
      <c r="K27" s="160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</row>
    <row r="28" spans="1:24" ht="16.5" thickBot="1">
      <c r="A28" s="669"/>
      <c r="B28" s="257" t="s">
        <v>264</v>
      </c>
      <c r="C28" s="401" t="s">
        <v>230</v>
      </c>
      <c r="D28" s="550"/>
      <c r="E28" s="396">
        <v>7411115</v>
      </c>
      <c r="F28" s="550"/>
      <c r="G28" s="550"/>
      <c r="H28" s="550"/>
      <c r="I28" s="550"/>
      <c r="J28" s="459">
        <f t="shared" si="0"/>
        <v>7411115</v>
      </c>
      <c r="K28" s="160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</row>
    <row r="29" spans="1:24" s="612" customFormat="1" ht="16.5" thickBot="1">
      <c r="A29" s="669"/>
      <c r="B29" s="615" t="s">
        <v>365</v>
      </c>
      <c r="C29" s="489" t="s">
        <v>366</v>
      </c>
      <c r="D29" s="550"/>
      <c r="E29" s="550"/>
      <c r="F29" s="550"/>
      <c r="G29" s="550"/>
      <c r="H29" s="550"/>
      <c r="I29" s="550"/>
      <c r="J29" s="459">
        <f t="shared" si="0"/>
        <v>0</v>
      </c>
      <c r="K29" s="611"/>
    </row>
    <row r="30" spans="1:24" ht="16.5" thickBot="1">
      <c r="A30" s="669"/>
      <c r="B30" s="257" t="s">
        <v>265</v>
      </c>
      <c r="C30" s="401" t="s">
        <v>281</v>
      </c>
      <c r="D30" s="396">
        <v>1500000</v>
      </c>
      <c r="E30" s="550"/>
      <c r="F30" s="550"/>
      <c r="G30" s="396">
        <v>8165656</v>
      </c>
      <c r="H30" s="550"/>
      <c r="I30" s="550"/>
      <c r="J30" s="459">
        <f t="shared" si="0"/>
        <v>9665656</v>
      </c>
      <c r="K30" s="160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</row>
    <row r="31" spans="1:24" ht="32.25" thickBot="1">
      <c r="A31" s="669"/>
      <c r="B31" s="402" t="s">
        <v>422</v>
      </c>
      <c r="C31" s="489" t="s">
        <v>423</v>
      </c>
      <c r="D31" s="550"/>
      <c r="E31" s="550"/>
      <c r="F31" s="550"/>
      <c r="G31" s="550"/>
      <c r="H31" s="550"/>
      <c r="I31" s="550"/>
      <c r="J31" s="459">
        <f t="shared" si="0"/>
        <v>0</v>
      </c>
      <c r="K31" s="160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</row>
    <row r="32" spans="1:24" ht="16.5" thickBot="1">
      <c r="A32" s="669"/>
      <c r="B32" s="257" t="s">
        <v>266</v>
      </c>
      <c r="C32" s="401" t="s">
        <v>282</v>
      </c>
      <c r="D32" s="396">
        <v>400000</v>
      </c>
      <c r="E32" s="550"/>
      <c r="F32" s="550"/>
      <c r="G32" s="550"/>
      <c r="H32" s="550"/>
      <c r="I32" s="553"/>
      <c r="J32" s="459">
        <f t="shared" si="0"/>
        <v>400000</v>
      </c>
      <c r="K32" s="160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</row>
    <row r="33" spans="1:24" ht="16.5" thickBot="1">
      <c r="A33" s="669"/>
      <c r="B33" s="402" t="s">
        <v>361</v>
      </c>
      <c r="C33" s="400" t="s">
        <v>363</v>
      </c>
      <c r="D33" s="550"/>
      <c r="E33" s="550"/>
      <c r="F33" s="550"/>
      <c r="G33" s="396">
        <v>21687507</v>
      </c>
      <c r="H33" s="550"/>
      <c r="I33" s="553"/>
      <c r="J33" s="459">
        <f t="shared" si="0"/>
        <v>21687507</v>
      </c>
      <c r="K33" s="160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</row>
    <row r="34" spans="1:24" ht="16.5" thickBot="1">
      <c r="A34" s="669"/>
      <c r="B34" s="402" t="s">
        <v>362</v>
      </c>
      <c r="C34" s="400" t="s">
        <v>364</v>
      </c>
      <c r="D34" s="550"/>
      <c r="E34" s="550"/>
      <c r="F34" s="550"/>
      <c r="G34" s="396">
        <v>8144534</v>
      </c>
      <c r="H34" s="550"/>
      <c r="I34" s="553"/>
      <c r="J34" s="459">
        <f t="shared" si="0"/>
        <v>8144534</v>
      </c>
      <c r="K34" s="160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</row>
    <row r="35" spans="1:24" s="612" customFormat="1" ht="16.5" thickBot="1">
      <c r="A35" s="669"/>
      <c r="B35" s="402" t="s">
        <v>288</v>
      </c>
      <c r="C35" s="400" t="s">
        <v>290</v>
      </c>
      <c r="D35" s="550"/>
      <c r="E35" s="550"/>
      <c r="F35" s="550"/>
      <c r="G35" s="396">
        <v>1835000</v>
      </c>
      <c r="H35" s="550"/>
      <c r="I35" s="550"/>
      <c r="J35" s="459">
        <f t="shared" si="0"/>
        <v>1835000</v>
      </c>
      <c r="K35" s="611"/>
    </row>
    <row r="36" spans="1:24" ht="32.25" thickBot="1">
      <c r="A36" s="669"/>
      <c r="B36" s="257" t="s">
        <v>332</v>
      </c>
      <c r="C36" s="489" t="s">
        <v>426</v>
      </c>
      <c r="D36" s="550"/>
      <c r="E36" s="447">
        <f>+'2.sz.mell.'!C25</f>
        <v>268775970</v>
      </c>
      <c r="F36" s="554"/>
      <c r="G36" s="554"/>
      <c r="H36" s="550"/>
      <c r="I36" s="550"/>
      <c r="J36" s="459">
        <f t="shared" si="0"/>
        <v>268775970</v>
      </c>
      <c r="K36" s="160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</row>
    <row r="37" spans="1:24" ht="16.5" thickBot="1">
      <c r="A37" s="669"/>
      <c r="B37" s="257" t="s">
        <v>431</v>
      </c>
      <c r="C37" s="489" t="s">
        <v>432</v>
      </c>
      <c r="D37" s="550"/>
      <c r="E37" s="550"/>
      <c r="F37" s="550"/>
      <c r="G37" s="554"/>
      <c r="H37" s="550"/>
      <c r="I37" s="396">
        <f>66000000+7500000+5700000</f>
        <v>79200000</v>
      </c>
      <c r="J37" s="459">
        <f t="shared" si="0"/>
        <v>79200000</v>
      </c>
      <c r="K37" s="160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</row>
    <row r="38" spans="1:24" ht="16.5" thickBot="1">
      <c r="A38" s="669"/>
      <c r="B38" s="232" t="s">
        <v>429</v>
      </c>
      <c r="C38" s="232" t="s">
        <v>430</v>
      </c>
      <c r="D38" s="398">
        <f>SUM(D6:D37)</f>
        <v>30970000</v>
      </c>
      <c r="E38" s="398">
        <f t="shared" ref="E38:I38" si="1">SUM(E6:E37)</f>
        <v>357804551</v>
      </c>
      <c r="F38" s="398">
        <f t="shared" si="1"/>
        <v>5096029</v>
      </c>
      <c r="G38" s="398">
        <f t="shared" si="1"/>
        <v>222081812</v>
      </c>
      <c r="H38" s="398">
        <f t="shared" si="1"/>
        <v>0</v>
      </c>
      <c r="I38" s="398">
        <f t="shared" si="1"/>
        <v>79200000</v>
      </c>
      <c r="J38" s="459">
        <f>+SUM(J6:J37)</f>
        <v>695152392</v>
      </c>
      <c r="K38" s="44">
        <v>695152392</v>
      </c>
      <c r="L38" s="37"/>
      <c r="M38" s="160"/>
      <c r="N38" s="160"/>
      <c r="O38" s="37"/>
      <c r="P38" s="37"/>
      <c r="Q38" s="37"/>
      <c r="R38" s="37"/>
      <c r="S38" s="37"/>
      <c r="T38" s="37"/>
      <c r="U38" s="37"/>
      <c r="V38" s="37"/>
      <c r="W38" s="37"/>
      <c r="X38" s="37"/>
    </row>
    <row r="39" spans="1:24" ht="37.9" customHeight="1" thickBot="1">
      <c r="A39" s="669" t="s">
        <v>39</v>
      </c>
      <c r="B39" s="260" t="s">
        <v>223</v>
      </c>
      <c r="C39" s="231" t="s">
        <v>267</v>
      </c>
      <c r="D39" s="396">
        <f>200000+900000</f>
        <v>1100000</v>
      </c>
      <c r="E39" s="396">
        <v>1938774</v>
      </c>
      <c r="F39" s="550"/>
      <c r="G39" s="550"/>
      <c r="H39" s="550"/>
      <c r="I39" s="397">
        <v>70000</v>
      </c>
      <c r="J39" s="398">
        <f>+I39+F39+E39+D39+G39+H39</f>
        <v>3108774</v>
      </c>
      <c r="K39" s="44">
        <f>+J38-K38</f>
        <v>0</v>
      </c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</row>
    <row r="40" spans="1:24" ht="22.5" customHeight="1" thickBot="1">
      <c r="A40" s="669"/>
      <c r="B40" s="455" t="s">
        <v>331</v>
      </c>
      <c r="C40" s="456" t="s">
        <v>427</v>
      </c>
      <c r="D40" s="550"/>
      <c r="E40" s="396">
        <v>0</v>
      </c>
      <c r="F40" s="550"/>
      <c r="G40" s="396">
        <v>1129708</v>
      </c>
      <c r="H40" s="396">
        <v>98457518</v>
      </c>
      <c r="I40" s="553"/>
      <c r="J40" s="398">
        <f>+I40+F40+E40+D40+G40+H40</f>
        <v>99587226</v>
      </c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</row>
    <row r="41" spans="1:24" ht="22.5" customHeight="1" thickBot="1">
      <c r="A41" s="669"/>
      <c r="B41" s="455" t="s">
        <v>361</v>
      </c>
      <c r="C41" s="400" t="s">
        <v>363</v>
      </c>
      <c r="D41" s="550"/>
      <c r="E41" s="550"/>
      <c r="F41" s="550"/>
      <c r="G41" s="447"/>
      <c r="H41" s="550"/>
      <c r="I41" s="553"/>
      <c r="J41" s="398">
        <f>+I41+F41+E41+D41+G41+H41</f>
        <v>0</v>
      </c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</row>
    <row r="42" spans="1:24" ht="39" customHeight="1" thickBot="1">
      <c r="A42" s="669"/>
      <c r="B42" s="457" t="s">
        <v>375</v>
      </c>
      <c r="C42" s="492" t="s">
        <v>364</v>
      </c>
      <c r="D42" s="396"/>
      <c r="E42" s="396"/>
      <c r="F42" s="396"/>
      <c r="G42" s="447"/>
      <c r="H42" s="396"/>
      <c r="I42" s="397"/>
      <c r="J42" s="398">
        <f>+I42+F42+E42+D42+G42+H42</f>
        <v>0</v>
      </c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</row>
    <row r="43" spans="1:24" ht="16.5" thickBot="1">
      <c r="A43" s="669"/>
      <c r="B43" s="670" t="s">
        <v>55</v>
      </c>
      <c r="C43" s="671"/>
      <c r="D43" s="398">
        <f>D39+D41+D42+D40</f>
        <v>1100000</v>
      </c>
      <c r="E43" s="398">
        <f t="shared" ref="E43:I43" si="2">E39+E41+E42+E40</f>
        <v>1938774</v>
      </c>
      <c r="F43" s="398">
        <f t="shared" si="2"/>
        <v>0</v>
      </c>
      <c r="G43" s="398">
        <f t="shared" si="2"/>
        <v>1129708</v>
      </c>
      <c r="H43" s="398">
        <f t="shared" si="2"/>
        <v>98457518</v>
      </c>
      <c r="I43" s="398">
        <f t="shared" si="2"/>
        <v>70000</v>
      </c>
      <c r="J43" s="398">
        <f>J39++J41+J42+J40</f>
        <v>102696000</v>
      </c>
      <c r="K43" s="160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</row>
    <row r="44" spans="1:24" ht="18.95" customHeight="1" thickBot="1">
      <c r="A44" s="688" t="s">
        <v>41</v>
      </c>
      <c r="B44" s="402" t="s">
        <v>331</v>
      </c>
      <c r="C44" s="401" t="s">
        <v>427</v>
      </c>
      <c r="D44" s="396"/>
      <c r="E44" s="396"/>
      <c r="F44" s="396"/>
      <c r="G44" s="396">
        <v>146107</v>
      </c>
      <c r="H44" s="396">
        <v>16645148</v>
      </c>
      <c r="I44" s="397"/>
      <c r="J44" s="398">
        <f>+I44+F44+E44+D44+G44+H44</f>
        <v>16791255</v>
      </c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</row>
    <row r="45" spans="1:24" ht="18.95" customHeight="1" thickBot="1">
      <c r="A45" s="689"/>
      <c r="B45" s="402" t="s">
        <v>288</v>
      </c>
      <c r="C45" s="401" t="s">
        <v>290</v>
      </c>
      <c r="D45" s="396">
        <v>150000</v>
      </c>
      <c r="E45" s="396"/>
      <c r="F45" s="396"/>
      <c r="G45" s="396"/>
      <c r="H45" s="396"/>
      <c r="I45" s="397"/>
      <c r="J45" s="398">
        <f>+I45+F45+E45+D45+G45+H45</f>
        <v>150000</v>
      </c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</row>
    <row r="46" spans="1:24" ht="22.5" customHeight="1" thickBot="1">
      <c r="A46" s="690"/>
      <c r="B46" s="670" t="s">
        <v>289</v>
      </c>
      <c r="C46" s="671"/>
      <c r="D46" s="398">
        <f t="shared" ref="D46" si="3">SUM(D44:D45)</f>
        <v>150000</v>
      </c>
      <c r="E46" s="398">
        <f t="shared" ref="E46:I46" si="4">SUM(E44:E45)</f>
        <v>0</v>
      </c>
      <c r="F46" s="398">
        <f t="shared" si="4"/>
        <v>0</v>
      </c>
      <c r="G46" s="398">
        <f t="shared" si="4"/>
        <v>146107</v>
      </c>
      <c r="H46" s="398">
        <f t="shared" si="4"/>
        <v>16645148</v>
      </c>
      <c r="I46" s="398">
        <f t="shared" si="4"/>
        <v>0</v>
      </c>
      <c r="J46" s="398">
        <f>SUM(J44:J45)</f>
        <v>16941255</v>
      </c>
      <c r="K46" s="160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</row>
    <row r="47" spans="1:24" ht="18.95" customHeight="1" thickBot="1">
      <c r="A47" s="688" t="s">
        <v>43</v>
      </c>
      <c r="B47" s="402" t="s">
        <v>331</v>
      </c>
      <c r="C47" s="401" t="s">
        <v>427</v>
      </c>
      <c r="D47" s="396"/>
      <c r="E47" s="396"/>
      <c r="F47" s="396"/>
      <c r="G47" s="396">
        <v>300944</v>
      </c>
      <c r="H47" s="396">
        <v>3562176</v>
      </c>
      <c r="I47" s="397"/>
      <c r="J47" s="398">
        <f>+I47+F47+E47+D47+G47+H47</f>
        <v>3863120</v>
      </c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</row>
    <row r="48" spans="1:24" ht="15.75" customHeight="1" thickBot="1">
      <c r="A48" s="689"/>
      <c r="B48" s="505" t="s">
        <v>424</v>
      </c>
      <c r="C48" s="401" t="s">
        <v>425</v>
      </c>
      <c r="D48" s="396"/>
      <c r="E48" s="396"/>
      <c r="F48" s="396"/>
      <c r="G48" s="396"/>
      <c r="H48" s="396"/>
      <c r="I48" s="397"/>
      <c r="J48" s="398">
        <f>+I48+F48+E48+D48+G48+H48</f>
        <v>0</v>
      </c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</row>
    <row r="49" spans="1:24" ht="15.75" customHeight="1" thickBot="1">
      <c r="A49" s="689"/>
      <c r="B49" s="505" t="s">
        <v>293</v>
      </c>
      <c r="C49" s="401" t="s">
        <v>291</v>
      </c>
      <c r="D49" s="396">
        <v>110000</v>
      </c>
      <c r="E49" s="396">
        <v>2800000</v>
      </c>
      <c r="F49" s="396"/>
      <c r="G49" s="396"/>
      <c r="H49" s="396"/>
      <c r="I49" s="397"/>
      <c r="J49" s="398">
        <f>+I49+F49+E49+D49+G49+H49</f>
        <v>2910000</v>
      </c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</row>
    <row r="50" spans="1:24" ht="21" customHeight="1" thickBot="1">
      <c r="A50" s="690"/>
      <c r="B50" s="670" t="s">
        <v>292</v>
      </c>
      <c r="C50" s="671"/>
      <c r="D50" s="398">
        <f t="shared" ref="D50:I50" si="5">SUM(D47:D49)</f>
        <v>110000</v>
      </c>
      <c r="E50" s="398">
        <f t="shared" si="5"/>
        <v>2800000</v>
      </c>
      <c r="F50" s="398">
        <f t="shared" si="5"/>
        <v>0</v>
      </c>
      <c r="G50" s="398">
        <f t="shared" si="5"/>
        <v>300944</v>
      </c>
      <c r="H50" s="398">
        <f t="shared" si="5"/>
        <v>3562176</v>
      </c>
      <c r="I50" s="398">
        <f t="shared" si="5"/>
        <v>0</v>
      </c>
      <c r="J50" s="398">
        <f>SUM(J47:J49)</f>
        <v>6773120</v>
      </c>
      <c r="K50" s="160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</row>
    <row r="51" spans="1:24" ht="18.95" customHeight="1" thickBot="1">
      <c r="A51" s="672" t="s">
        <v>213</v>
      </c>
      <c r="B51" s="402" t="s">
        <v>331</v>
      </c>
      <c r="C51" s="401" t="s">
        <v>427</v>
      </c>
      <c r="D51" s="396"/>
      <c r="E51" s="396"/>
      <c r="F51" s="396"/>
      <c r="G51" s="396">
        <v>1397501</v>
      </c>
      <c r="H51" s="396">
        <f>1128920+99433802</f>
        <v>100562722</v>
      </c>
      <c r="I51" s="553"/>
      <c r="J51" s="398">
        <f t="shared" ref="J51:J59" si="6">+I51+F51+E51+D51+G51+H51</f>
        <v>101960223</v>
      </c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</row>
    <row r="52" spans="1:24" ht="21" customHeight="1" thickBot="1">
      <c r="A52" s="673"/>
      <c r="B52" s="261" t="s">
        <v>294</v>
      </c>
      <c r="C52" s="262" t="s">
        <v>284</v>
      </c>
      <c r="D52" s="431"/>
      <c r="E52" s="431"/>
      <c r="F52" s="431"/>
      <c r="G52" s="431"/>
      <c r="H52" s="431"/>
      <c r="I52" s="551"/>
      <c r="J52" s="398">
        <f t="shared" si="6"/>
        <v>0</v>
      </c>
      <c r="K52" s="37"/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</row>
    <row r="53" spans="1:24" ht="21" customHeight="1" thickBot="1">
      <c r="A53" s="673"/>
      <c r="B53" s="261" t="s">
        <v>295</v>
      </c>
      <c r="C53" s="262" t="s">
        <v>285</v>
      </c>
      <c r="D53" s="431">
        <v>20000</v>
      </c>
      <c r="E53" s="431"/>
      <c r="F53" s="431"/>
      <c r="G53" s="431"/>
      <c r="H53" s="431"/>
      <c r="I53" s="551"/>
      <c r="J53" s="398">
        <f t="shared" si="6"/>
        <v>20000</v>
      </c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</row>
    <row r="54" spans="1:24" ht="21" customHeight="1" thickBot="1">
      <c r="A54" s="673"/>
      <c r="B54" s="261" t="s">
        <v>365</v>
      </c>
      <c r="C54" s="262" t="s">
        <v>434</v>
      </c>
      <c r="D54" s="431">
        <v>0</v>
      </c>
      <c r="E54" s="431"/>
      <c r="F54" s="431"/>
      <c r="G54" s="431"/>
      <c r="H54" s="431"/>
      <c r="I54" s="551"/>
      <c r="J54" s="398">
        <f t="shared" si="6"/>
        <v>0</v>
      </c>
      <c r="K54" s="37"/>
      <c r="L54" s="37"/>
      <c r="M54" s="37"/>
      <c r="N54" s="37"/>
      <c r="O54" s="37"/>
      <c r="P54" s="37"/>
      <c r="Q54" s="37"/>
      <c r="R54" s="37"/>
      <c r="S54" s="37"/>
      <c r="T54" s="37"/>
      <c r="U54" s="37"/>
      <c r="V54" s="37"/>
      <c r="W54" s="37"/>
      <c r="X54" s="37"/>
    </row>
    <row r="55" spans="1:24" ht="21" customHeight="1" thickBot="1">
      <c r="A55" s="673"/>
      <c r="B55" s="261" t="s">
        <v>296</v>
      </c>
      <c r="C55" s="262" t="s">
        <v>286</v>
      </c>
      <c r="D55" s="431">
        <f>95000+400000</f>
        <v>495000</v>
      </c>
      <c r="E55" s="431">
        <v>2024525</v>
      </c>
      <c r="F55" s="431"/>
      <c r="G55" s="431"/>
      <c r="H55" s="431"/>
      <c r="I55" s="551"/>
      <c r="J55" s="398">
        <f t="shared" si="6"/>
        <v>2519525</v>
      </c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7"/>
      <c r="X55" s="37"/>
    </row>
    <row r="56" spans="1:24" ht="21" customHeight="1" thickBot="1">
      <c r="A56" s="673"/>
      <c r="B56" s="261" t="s">
        <v>297</v>
      </c>
      <c r="C56" s="262" t="s">
        <v>287</v>
      </c>
      <c r="D56" s="431">
        <f>2300000+8600000+275000</f>
        <v>11175000</v>
      </c>
      <c r="E56" s="431"/>
      <c r="F56" s="431"/>
      <c r="G56" s="431"/>
      <c r="H56" s="431"/>
      <c r="I56" s="551"/>
      <c r="J56" s="398">
        <f t="shared" si="6"/>
        <v>11175000</v>
      </c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</row>
    <row r="57" spans="1:24" ht="21" customHeight="1" thickBot="1">
      <c r="A57" s="673"/>
      <c r="B57" s="261" t="s">
        <v>263</v>
      </c>
      <c r="C57" s="262" t="s">
        <v>335</v>
      </c>
      <c r="D57" s="431"/>
      <c r="E57" s="431"/>
      <c r="F57" s="431"/>
      <c r="G57" s="431"/>
      <c r="H57" s="431"/>
      <c r="I57" s="555"/>
      <c r="J57" s="398">
        <f t="shared" si="6"/>
        <v>0</v>
      </c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</row>
    <row r="58" spans="1:24" ht="21" customHeight="1" thickBot="1">
      <c r="A58" s="673"/>
      <c r="B58" s="261" t="s">
        <v>262</v>
      </c>
      <c r="C58" s="262" t="s">
        <v>334</v>
      </c>
      <c r="D58" s="431">
        <f>1600000+6050000</f>
        <v>7650000</v>
      </c>
      <c r="E58" s="431"/>
      <c r="F58" s="431"/>
      <c r="G58" s="431"/>
      <c r="H58" s="431"/>
      <c r="I58" s="555"/>
      <c r="J58" s="398">
        <f t="shared" si="6"/>
        <v>7650000</v>
      </c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7"/>
    </row>
    <row r="59" spans="1:24" ht="21" customHeight="1" thickBot="1">
      <c r="A59" s="673"/>
      <c r="B59" s="261" t="s">
        <v>229</v>
      </c>
      <c r="C59" s="262" t="s">
        <v>280</v>
      </c>
      <c r="D59" s="431">
        <f>680000+2500000+600000</f>
        <v>3780000</v>
      </c>
      <c r="E59" s="431"/>
      <c r="F59" s="431"/>
      <c r="G59" s="431"/>
      <c r="H59" s="431"/>
      <c r="I59" s="555"/>
      <c r="J59" s="398">
        <f t="shared" si="6"/>
        <v>3780000</v>
      </c>
      <c r="K59" s="37"/>
      <c r="L59" s="37"/>
      <c r="M59" s="37"/>
      <c r="N59" s="37"/>
      <c r="O59" s="37"/>
      <c r="P59" s="37"/>
      <c r="Q59" s="37"/>
      <c r="R59" s="37"/>
      <c r="S59" s="37"/>
      <c r="T59" s="37"/>
      <c r="U59" s="37"/>
      <c r="V59" s="37"/>
      <c r="W59" s="37"/>
      <c r="X59" s="37"/>
    </row>
    <row r="60" spans="1:24" ht="33" customHeight="1" thickBot="1">
      <c r="A60" s="674"/>
      <c r="B60" s="675" t="s">
        <v>298</v>
      </c>
      <c r="C60" s="676"/>
      <c r="D60" s="398">
        <f>SUM(D51:D59)</f>
        <v>23120000</v>
      </c>
      <c r="E60" s="398">
        <f t="shared" ref="E60:I60" si="7">SUM(E51:E59)</f>
        <v>2024525</v>
      </c>
      <c r="F60" s="398">
        <f t="shared" si="7"/>
        <v>0</v>
      </c>
      <c r="G60" s="398">
        <f t="shared" si="7"/>
        <v>1397501</v>
      </c>
      <c r="H60" s="398">
        <f t="shared" si="7"/>
        <v>100562722</v>
      </c>
      <c r="I60" s="398">
        <f t="shared" si="7"/>
        <v>0</v>
      </c>
      <c r="J60" s="398">
        <f>SUM(J51:J59)</f>
        <v>127104748</v>
      </c>
      <c r="K60" s="160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37"/>
      <c r="W60" s="37"/>
      <c r="X60" s="37"/>
    </row>
    <row r="61" spans="1:24" ht="26.25" customHeight="1" thickBot="1">
      <c r="A61" s="677" t="s">
        <v>56</v>
      </c>
      <c r="B61" s="677"/>
      <c r="C61" s="677"/>
      <c r="D61" s="398">
        <f t="shared" ref="D61:J61" si="8">+D60+D50+D46+D43+D38</f>
        <v>55450000</v>
      </c>
      <c r="E61" s="398">
        <f t="shared" si="8"/>
        <v>364567850</v>
      </c>
      <c r="F61" s="398">
        <f t="shared" si="8"/>
        <v>5096029</v>
      </c>
      <c r="G61" s="398">
        <f t="shared" si="8"/>
        <v>225056072</v>
      </c>
      <c r="H61" s="398">
        <f t="shared" si="8"/>
        <v>219227564</v>
      </c>
      <c r="I61" s="398">
        <f t="shared" si="8"/>
        <v>79270000</v>
      </c>
      <c r="J61" s="398">
        <f t="shared" si="8"/>
        <v>948667515</v>
      </c>
      <c r="K61" s="37"/>
      <c r="L61" s="37"/>
      <c r="M61" s="37"/>
      <c r="N61" s="37"/>
      <c r="O61" s="37"/>
      <c r="P61" s="37"/>
      <c r="Q61" s="37"/>
      <c r="R61" s="37"/>
      <c r="S61" s="37"/>
      <c r="T61" s="37"/>
      <c r="U61" s="37"/>
      <c r="V61" s="37"/>
      <c r="W61" s="37"/>
      <c r="X61" s="37"/>
    </row>
    <row r="62" spans="1:24">
      <c r="J62" s="44"/>
    </row>
    <row r="63" spans="1:24">
      <c r="J63" s="44">
        <f>+J61-H61</f>
        <v>729439951</v>
      </c>
    </row>
    <row r="64" spans="1:24">
      <c r="I64" s="44"/>
      <c r="J64" s="44"/>
    </row>
    <row r="65" spans="9:16">
      <c r="J65" s="44">
        <f>+'5.a sz.mell.'!N63-'5 b.sz.mell.'!J63</f>
        <v>0</v>
      </c>
    </row>
    <row r="66" spans="9:16">
      <c r="I66" s="458"/>
      <c r="J66" s="458"/>
    </row>
    <row r="67" spans="9:16">
      <c r="J67" s="44"/>
    </row>
    <row r="68" spans="9:16">
      <c r="I68" s="44"/>
    </row>
    <row r="69" spans="9:16">
      <c r="P69" s="44"/>
    </row>
  </sheetData>
  <mergeCells count="16">
    <mergeCell ref="D4:J4"/>
    <mergeCell ref="A2:J2"/>
    <mergeCell ref="A1:J1"/>
    <mergeCell ref="A6:A38"/>
    <mergeCell ref="A39:A43"/>
    <mergeCell ref="B43:C43"/>
    <mergeCell ref="B46:C46"/>
    <mergeCell ref="A4:A5"/>
    <mergeCell ref="B4:B5"/>
    <mergeCell ref="C4:C5"/>
    <mergeCell ref="B50:C50"/>
    <mergeCell ref="B60:C60"/>
    <mergeCell ref="A61:C61"/>
    <mergeCell ref="A44:A46"/>
    <mergeCell ref="A47:A50"/>
    <mergeCell ref="A51:A60"/>
  </mergeCells>
  <pageMargins left="0.74803149606299213" right="0.74803149606299213" top="0.98425196850393704" bottom="0.98425196850393704" header="0.51181102362204722" footer="0.51181102362204722"/>
  <pageSetup paperSize="8" scale="47" orientation="portrait" r:id="rId1"/>
  <headerFooter alignWithMargins="0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theme="9" tint="-0.249977111117893"/>
  </sheetPr>
  <dimension ref="A1:I52"/>
  <sheetViews>
    <sheetView view="pageBreakPreview" zoomScale="90" zoomScaleNormal="115" zoomScaleSheetLayoutView="90" workbookViewId="0">
      <selection activeCell="E46" sqref="E46"/>
    </sheetView>
  </sheetViews>
  <sheetFormatPr defaultColWidth="8.85546875" defaultRowHeight="12.75"/>
  <cols>
    <col min="1" max="1" width="4.42578125" style="37" customWidth="1"/>
    <col min="2" max="2" width="7.5703125" style="39" customWidth="1"/>
    <col min="3" max="3" width="93.140625" style="39" bestFit="1" customWidth="1"/>
    <col min="4" max="4" width="15.5703125" style="39" customWidth="1"/>
    <col min="5" max="5" width="15" style="39" customWidth="1"/>
    <col min="6" max="6" width="17.42578125" style="37" customWidth="1"/>
    <col min="7" max="16384" width="8.85546875" style="37"/>
  </cols>
  <sheetData>
    <row r="1" spans="1:9" ht="15.75">
      <c r="A1" s="645" t="s">
        <v>604</v>
      </c>
      <c r="B1" s="645"/>
      <c r="C1" s="645"/>
      <c r="D1" s="645"/>
      <c r="E1" s="645"/>
    </row>
    <row r="2" spans="1:9" s="39" customFormat="1" ht="27.75" customHeight="1">
      <c r="A2" s="696" t="s">
        <v>548</v>
      </c>
      <c r="B2" s="696"/>
      <c r="C2" s="696"/>
      <c r="D2" s="696"/>
      <c r="E2" s="696"/>
      <c r="F2" s="162"/>
      <c r="G2" s="162"/>
      <c r="H2" s="162"/>
      <c r="I2" s="162"/>
    </row>
    <row r="3" spans="1:9" ht="29.25" customHeight="1">
      <c r="A3" s="697" t="s">
        <v>148</v>
      </c>
      <c r="B3" s="697"/>
      <c r="C3" s="697"/>
      <c r="D3" s="697"/>
      <c r="E3" s="697"/>
      <c r="F3" s="162"/>
      <c r="G3" s="162"/>
      <c r="H3" s="162"/>
      <c r="I3" s="162"/>
    </row>
    <row r="4" spans="1:9" ht="12.75" customHeight="1">
      <c r="B4" s="163"/>
      <c r="C4" s="164"/>
      <c r="D4" s="165" t="s">
        <v>149</v>
      </c>
      <c r="F4" s="162"/>
      <c r="G4" s="162"/>
      <c r="H4" s="162"/>
      <c r="I4" s="162"/>
    </row>
    <row r="5" spans="1:9" ht="12.75" customHeight="1">
      <c r="A5" s="695" t="s">
        <v>150</v>
      </c>
      <c r="B5" s="695"/>
      <c r="C5" s="695"/>
      <c r="D5" s="166">
        <v>1426453</v>
      </c>
      <c r="F5" s="162"/>
      <c r="G5" s="162"/>
      <c r="H5" s="162"/>
      <c r="I5" s="162"/>
    </row>
    <row r="6" spans="1:9" ht="12.75" customHeight="1">
      <c r="A6" s="167"/>
      <c r="B6" s="168"/>
      <c r="C6" s="168"/>
      <c r="D6" s="169"/>
      <c r="F6" s="162"/>
      <c r="G6" s="162"/>
      <c r="H6" s="162"/>
      <c r="I6" s="162"/>
    </row>
    <row r="7" spans="1:9" ht="15.75" customHeight="1">
      <c r="A7" s="695" t="s">
        <v>151</v>
      </c>
      <c r="B7" s="695"/>
      <c r="C7" s="695"/>
      <c r="D7" s="170"/>
      <c r="F7" s="162"/>
      <c r="G7" s="162"/>
      <c r="H7" s="162"/>
      <c r="I7" s="162"/>
    </row>
    <row r="8" spans="1:9" ht="12.75" customHeight="1">
      <c r="B8" s="163"/>
      <c r="C8" s="171"/>
      <c r="D8" s="169" t="s">
        <v>549</v>
      </c>
      <c r="F8" s="162"/>
      <c r="G8" s="162"/>
      <c r="H8" s="162"/>
      <c r="I8" s="162"/>
    </row>
    <row r="9" spans="1:9" ht="12.75" customHeight="1">
      <c r="B9" s="163"/>
      <c r="C9" s="172"/>
      <c r="D9" s="166">
        <v>2458</v>
      </c>
      <c r="F9" s="162"/>
      <c r="G9" s="162"/>
      <c r="H9" s="162"/>
      <c r="I9" s="162"/>
    </row>
    <row r="10" spans="1:9" ht="12.75" customHeight="1">
      <c r="B10" s="163"/>
      <c r="C10" s="173" t="s">
        <v>336</v>
      </c>
      <c r="D10" s="174"/>
      <c r="F10" s="162"/>
      <c r="G10" s="162"/>
      <c r="H10" s="162"/>
      <c r="I10" s="162"/>
    </row>
    <row r="11" spans="1:9" ht="41.25" customHeight="1">
      <c r="B11" s="175"/>
      <c r="C11" s="176" t="s">
        <v>152</v>
      </c>
      <c r="D11" s="497" t="s">
        <v>439</v>
      </c>
      <c r="E11" s="162"/>
      <c r="F11" s="162"/>
      <c r="G11" s="162"/>
      <c r="H11" s="162"/>
    </row>
    <row r="12" spans="1:9" ht="12.75" customHeight="1">
      <c r="B12" s="166" t="s">
        <v>153</v>
      </c>
      <c r="C12" s="177" t="s">
        <v>65</v>
      </c>
      <c r="D12" s="491" t="s">
        <v>154</v>
      </c>
      <c r="E12" s="162"/>
      <c r="F12" s="162"/>
      <c r="G12" s="162"/>
      <c r="H12" s="162"/>
    </row>
    <row r="13" spans="1:9" ht="12.75" customHeight="1">
      <c r="B13" s="178" t="s">
        <v>155</v>
      </c>
      <c r="C13" s="179" t="s">
        <v>353</v>
      </c>
      <c r="D13" s="327">
        <f>+'2.sz.mell.'!C5</f>
        <v>70119800</v>
      </c>
      <c r="E13" s="162"/>
      <c r="F13" s="162"/>
      <c r="G13" s="162"/>
      <c r="H13" s="162"/>
    </row>
    <row r="14" spans="1:9" ht="12.75" customHeight="1">
      <c r="B14" s="178" t="s">
        <v>156</v>
      </c>
      <c r="C14" s="179" t="s">
        <v>157</v>
      </c>
      <c r="D14" s="327">
        <f>+D15+D16+D17+D18</f>
        <v>22007970</v>
      </c>
      <c r="E14" s="162"/>
      <c r="F14" s="162"/>
      <c r="G14" s="162"/>
      <c r="H14" s="162"/>
    </row>
    <row r="15" spans="1:9" ht="12.75" customHeight="1">
      <c r="B15" s="178" t="s">
        <v>158</v>
      </c>
      <c r="C15" s="179" t="s">
        <v>159</v>
      </c>
      <c r="D15" s="327">
        <f>+'2.sz.mell.'!C6</f>
        <v>10198440</v>
      </c>
      <c r="E15" s="162"/>
      <c r="F15" s="162"/>
      <c r="G15" s="162"/>
      <c r="H15" s="162"/>
    </row>
    <row r="16" spans="1:9" ht="12.75" customHeight="1">
      <c r="B16" s="178" t="s">
        <v>160</v>
      </c>
      <c r="C16" s="179" t="s">
        <v>161</v>
      </c>
      <c r="D16" s="327">
        <f>+'2.sz.mell.'!C7</f>
        <v>6400000</v>
      </c>
      <c r="E16" s="162"/>
      <c r="F16" s="162"/>
      <c r="G16" s="162"/>
      <c r="H16" s="162"/>
    </row>
    <row r="17" spans="2:8" ht="12.75" customHeight="1">
      <c r="B17" s="178" t="s">
        <v>162</v>
      </c>
      <c r="C17" s="179" t="s">
        <v>163</v>
      </c>
      <c r="D17" s="327">
        <f>+'2.sz.mell.'!C8</f>
        <v>100000</v>
      </c>
      <c r="E17" s="162"/>
      <c r="F17" s="162"/>
      <c r="G17" s="162"/>
      <c r="H17" s="162"/>
    </row>
    <row r="18" spans="2:8" ht="12.75" customHeight="1">
      <c r="B18" s="178" t="s">
        <v>164</v>
      </c>
      <c r="C18" s="179" t="s">
        <v>165</v>
      </c>
      <c r="D18" s="327">
        <f>+'2.sz.mell.'!C9</f>
        <v>5309530</v>
      </c>
      <c r="E18" s="162"/>
      <c r="F18" s="162"/>
      <c r="G18" s="162"/>
      <c r="H18" s="162"/>
    </row>
    <row r="19" spans="2:8" ht="12.75" customHeight="1">
      <c r="B19" s="178" t="s">
        <v>166</v>
      </c>
      <c r="C19" s="179" t="s">
        <v>167</v>
      </c>
      <c r="D19" s="327">
        <f>+'2.sz.mell.'!C10</f>
        <v>7000000</v>
      </c>
      <c r="E19" s="162"/>
      <c r="F19" s="162"/>
      <c r="G19" s="162"/>
      <c r="H19" s="162"/>
    </row>
    <row r="20" spans="2:8" ht="12.75" customHeight="1">
      <c r="B20" s="178" t="s">
        <v>168</v>
      </c>
      <c r="C20" s="179" t="s">
        <v>169</v>
      </c>
      <c r="D20" s="327">
        <f>+'2.sz.mell.'!C22</f>
        <v>73950</v>
      </c>
      <c r="E20" s="162"/>
      <c r="F20" s="162"/>
      <c r="G20" s="162"/>
      <c r="H20" s="162"/>
    </row>
    <row r="21" spans="2:8" ht="12.75" customHeight="1">
      <c r="B21" s="178"/>
      <c r="C21" s="179" t="s">
        <v>170</v>
      </c>
      <c r="D21" s="327">
        <f>+'2.sz.mell.'!C11</f>
        <v>0</v>
      </c>
      <c r="E21" s="162"/>
      <c r="F21" s="162"/>
      <c r="G21" s="162"/>
      <c r="H21" s="162"/>
    </row>
    <row r="22" spans="2:8" ht="12.75" customHeight="1">
      <c r="B22" s="178"/>
      <c r="C22" s="265" t="s">
        <v>351</v>
      </c>
      <c r="D22" s="327">
        <f>+'2.sz.mell.'!C12</f>
        <v>840800</v>
      </c>
      <c r="E22" s="162"/>
      <c r="F22" s="162"/>
      <c r="G22" s="162"/>
      <c r="H22" s="162"/>
    </row>
    <row r="23" spans="2:8" ht="12.75" customHeight="1">
      <c r="B23" s="178" t="s">
        <v>38</v>
      </c>
      <c r="C23" s="180" t="s">
        <v>171</v>
      </c>
      <c r="D23" s="328">
        <f>SUM(D13:D14,D19,D20,D21:D22,)</f>
        <v>100042520</v>
      </c>
      <c r="E23" s="162"/>
      <c r="F23" s="622">
        <v>100042520</v>
      </c>
      <c r="G23" s="162"/>
      <c r="H23" s="162"/>
    </row>
    <row r="24" spans="2:8">
      <c r="B24" s="178"/>
      <c r="C24" s="179" t="s">
        <v>512</v>
      </c>
      <c r="D24" s="329">
        <v>45463600</v>
      </c>
      <c r="E24" s="37"/>
      <c r="F24" s="207"/>
    </row>
    <row r="25" spans="2:8">
      <c r="B25" s="178"/>
      <c r="C25" s="179" t="s">
        <v>513</v>
      </c>
      <c r="D25" s="329">
        <v>0</v>
      </c>
      <c r="E25" s="37"/>
      <c r="F25" s="207"/>
    </row>
    <row r="26" spans="2:8">
      <c r="B26" s="178"/>
      <c r="C26" s="179" t="s">
        <v>352</v>
      </c>
      <c r="D26" s="329">
        <v>0</v>
      </c>
      <c r="E26" s="37"/>
    </row>
    <row r="27" spans="2:8" ht="32.25" customHeight="1">
      <c r="B27" s="178"/>
      <c r="C27" s="183" t="s">
        <v>516</v>
      </c>
      <c r="D27" s="329">
        <v>1983500</v>
      </c>
      <c r="E27" s="37"/>
    </row>
    <row r="28" spans="2:8">
      <c r="B28" s="178"/>
      <c r="C28" s="179" t="s">
        <v>337</v>
      </c>
      <c r="D28" s="329">
        <v>13920000</v>
      </c>
      <c r="E28" s="37"/>
    </row>
    <row r="29" spans="2:8">
      <c r="B29" s="178"/>
      <c r="C29" s="181" t="s">
        <v>338</v>
      </c>
      <c r="D29" s="329">
        <v>0</v>
      </c>
      <c r="E29" s="37"/>
    </row>
    <row r="30" spans="2:8">
      <c r="B30" s="178"/>
      <c r="C30" s="179" t="s">
        <v>514</v>
      </c>
      <c r="D30" s="329">
        <v>10129600</v>
      </c>
      <c r="E30" s="37"/>
    </row>
    <row r="31" spans="2:8">
      <c r="B31" s="178"/>
      <c r="C31" s="179" t="s">
        <v>515</v>
      </c>
      <c r="D31" s="329">
        <v>0</v>
      </c>
      <c r="E31" s="37"/>
    </row>
    <row r="32" spans="2:8">
      <c r="B32" s="178" t="s">
        <v>39</v>
      </c>
      <c r="C32" s="182" t="s">
        <v>303</v>
      </c>
      <c r="D32" s="330">
        <f>SUM(D24:D31)</f>
        <v>71496700</v>
      </c>
      <c r="E32" s="37"/>
      <c r="F32" s="37">
        <v>71496700</v>
      </c>
    </row>
    <row r="33" spans="2:6">
      <c r="B33" s="178"/>
      <c r="C33" s="179" t="s">
        <v>304</v>
      </c>
      <c r="D33" s="329">
        <f>+'2.sz.mell.'!C14</f>
        <v>19727792</v>
      </c>
      <c r="E33" s="37"/>
    </row>
    <row r="34" spans="2:6">
      <c r="B34" s="178"/>
      <c r="C34" s="179" t="s">
        <v>552</v>
      </c>
      <c r="D34" s="329">
        <v>20394000</v>
      </c>
      <c r="E34" s="37"/>
    </row>
    <row r="35" spans="2:6">
      <c r="B35" s="178"/>
      <c r="C35" s="179" t="s">
        <v>172</v>
      </c>
      <c r="D35" s="329">
        <v>24051380</v>
      </c>
      <c r="E35" s="37"/>
    </row>
    <row r="36" spans="2:6">
      <c r="B36" s="178"/>
      <c r="C36" s="179" t="s">
        <v>553</v>
      </c>
      <c r="D36" s="329">
        <v>932520</v>
      </c>
      <c r="E36" s="37"/>
    </row>
    <row r="37" spans="2:6">
      <c r="B37" s="178"/>
      <c r="C37" s="179" t="s">
        <v>305</v>
      </c>
      <c r="D37" s="329">
        <v>3400000</v>
      </c>
      <c r="E37" s="37"/>
    </row>
    <row r="38" spans="2:6">
      <c r="B38" s="178"/>
      <c r="C38" s="179" t="s">
        <v>550</v>
      </c>
      <c r="D38" s="329">
        <v>5555600</v>
      </c>
      <c r="E38" s="37"/>
    </row>
    <row r="39" spans="2:6">
      <c r="B39" s="178"/>
      <c r="C39" s="179" t="s">
        <v>517</v>
      </c>
      <c r="D39" s="329">
        <v>150000</v>
      </c>
      <c r="E39" s="37"/>
    </row>
    <row r="40" spans="2:6">
      <c r="B40" s="178"/>
      <c r="C40" s="179" t="s">
        <v>551</v>
      </c>
      <c r="D40" s="329">
        <v>5940000</v>
      </c>
      <c r="E40" s="37"/>
    </row>
    <row r="41" spans="2:6">
      <c r="B41" s="178"/>
      <c r="C41" s="179" t="s">
        <v>518</v>
      </c>
      <c r="D41" s="329">
        <v>3230000</v>
      </c>
      <c r="E41" s="37"/>
    </row>
    <row r="42" spans="2:6">
      <c r="B42" s="547"/>
      <c r="C42" s="179" t="s">
        <v>519</v>
      </c>
      <c r="D42" s="329">
        <v>7482500</v>
      </c>
      <c r="E42" s="37"/>
    </row>
    <row r="43" spans="2:6">
      <c r="B43" s="547"/>
      <c r="C43" s="179" t="s">
        <v>520</v>
      </c>
      <c r="D43" s="329">
        <v>3298000</v>
      </c>
      <c r="E43" s="37"/>
    </row>
    <row r="44" spans="2:6">
      <c r="B44" s="178" t="s">
        <v>173</v>
      </c>
      <c r="C44" s="180" t="s">
        <v>174</v>
      </c>
      <c r="D44" s="330">
        <f>SUM(D33:D43)</f>
        <v>94161792</v>
      </c>
      <c r="E44" s="37"/>
      <c r="F44" s="37">
        <v>94161792</v>
      </c>
    </row>
    <row r="45" spans="2:6">
      <c r="B45" s="178"/>
      <c r="C45" s="179" t="s">
        <v>175</v>
      </c>
      <c r="D45" s="329">
        <f>+'2.sz.mell.'!C21</f>
        <v>3074958</v>
      </c>
      <c r="E45" s="37"/>
    </row>
    <row r="46" spans="2:6">
      <c r="B46" s="178" t="s">
        <v>43</v>
      </c>
      <c r="C46" s="180" t="s">
        <v>176</v>
      </c>
      <c r="D46" s="330">
        <f>D45</f>
        <v>3074958</v>
      </c>
      <c r="E46" s="37"/>
      <c r="F46" s="37">
        <v>3074958</v>
      </c>
    </row>
    <row r="47" spans="2:6">
      <c r="B47" s="178"/>
      <c r="C47" s="180" t="s">
        <v>245</v>
      </c>
      <c r="D47" s="330">
        <f>+'2.sz.mell.'!C34+'2.sz.mell.'!C35</f>
        <v>63287243</v>
      </c>
      <c r="E47" s="37"/>
    </row>
    <row r="48" spans="2:6">
      <c r="B48" s="178" t="s">
        <v>213</v>
      </c>
      <c r="C48" s="180" t="s">
        <v>306</v>
      </c>
      <c r="D48" s="330">
        <f>+'2.sz.mell.'!C23</f>
        <v>0</v>
      </c>
      <c r="E48" s="37"/>
    </row>
    <row r="49" spans="2:5" ht="25.5">
      <c r="B49" s="178"/>
      <c r="C49" s="183" t="s">
        <v>339</v>
      </c>
      <c r="D49" s="330">
        <f>SUM(D23,D32,D44,D46,D48)+D47</f>
        <v>332063213</v>
      </c>
      <c r="E49" s="37"/>
    </row>
    <row r="51" spans="2:5">
      <c r="D51" s="44">
        <f>+'2.sz.mell.'!C25+'2.sz.mell.'!C34+'2.sz.mell.'!C35</f>
        <v>332063213</v>
      </c>
      <c r="E51" s="37"/>
    </row>
    <row r="52" spans="2:5">
      <c r="D52" s="44">
        <f>+D51-D49</f>
        <v>0</v>
      </c>
    </row>
  </sheetData>
  <mergeCells count="5">
    <mergeCell ref="A7:C7"/>
    <mergeCell ref="A1:E1"/>
    <mergeCell ref="A2:E2"/>
    <mergeCell ref="A3:E3"/>
    <mergeCell ref="A5:C5"/>
  </mergeCells>
  <phoneticPr fontId="0" type="noConversion"/>
  <pageMargins left="0.75" right="0.75" top="1" bottom="1" header="0.5" footer="0.5"/>
  <pageSetup paperSize="9" scale="71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theme="9" tint="-0.249977111117893"/>
  </sheetPr>
  <dimension ref="A1:F27"/>
  <sheetViews>
    <sheetView view="pageBreakPreview" zoomScale="60" zoomScaleNormal="100" workbookViewId="0">
      <selection activeCell="L29" sqref="L29"/>
    </sheetView>
  </sheetViews>
  <sheetFormatPr defaultRowHeight="12.75"/>
  <cols>
    <col min="1" max="1" width="10.28515625" style="46" customWidth="1"/>
    <col min="2" max="2" width="55" style="46" customWidth="1"/>
    <col min="3" max="3" width="23.28515625" style="46" customWidth="1"/>
    <col min="4" max="4" width="16.42578125" style="46" customWidth="1"/>
    <col min="5" max="5" width="17.85546875" style="46" customWidth="1"/>
    <col min="6" max="6" width="10.85546875" style="46" bestFit="1" customWidth="1"/>
    <col min="7" max="16384" width="9.140625" style="46"/>
  </cols>
  <sheetData>
    <row r="1" spans="1:6" ht="39" customHeight="1">
      <c r="A1" s="699" t="s">
        <v>605</v>
      </c>
      <c r="B1" s="699"/>
      <c r="C1" s="699"/>
      <c r="D1" s="267"/>
      <c r="E1" s="267"/>
      <c r="F1" s="267"/>
    </row>
    <row r="2" spans="1:6" ht="22.5" customHeight="1">
      <c r="A2" s="264"/>
      <c r="B2" s="264"/>
      <c r="C2" s="264"/>
      <c r="D2" s="264"/>
      <c r="E2" s="267"/>
      <c r="F2" s="267"/>
    </row>
    <row r="3" spans="1:6" ht="39" customHeight="1">
      <c r="A3" s="698" t="s">
        <v>555</v>
      </c>
      <c r="B3" s="698"/>
      <c r="C3" s="698"/>
      <c r="D3" s="266"/>
      <c r="E3" s="266"/>
      <c r="F3" s="266"/>
    </row>
    <row r="4" spans="1:6">
      <c r="B4" s="47"/>
      <c r="C4" s="47"/>
    </row>
    <row r="5" spans="1:6">
      <c r="B5" s="48"/>
      <c r="C5" s="48"/>
    </row>
    <row r="6" spans="1:6">
      <c r="B6" s="48"/>
    </row>
    <row r="7" spans="1:6" ht="13.5" thickBot="1">
      <c r="B7" s="48"/>
      <c r="C7" s="243" t="s">
        <v>320</v>
      </c>
    </row>
    <row r="8" spans="1:6" ht="26.25" customHeight="1" thickBot="1">
      <c r="B8" s="566" t="s">
        <v>65</v>
      </c>
      <c r="C8" s="566" t="s">
        <v>554</v>
      </c>
      <c r="D8" s="567"/>
      <c r="E8" s="567"/>
      <c r="F8" s="567"/>
    </row>
    <row r="9" spans="1:6" ht="18.75" hidden="1">
      <c r="B9" s="568" t="str">
        <f>+'2.sz.mell.'!B58</f>
        <v>Traktor beszerzés támogatás (ÁHT-n belül) (B25)</v>
      </c>
      <c r="C9" s="569">
        <f>+'2.sz.mell.'!C58</f>
        <v>0</v>
      </c>
      <c r="D9" s="567"/>
      <c r="E9" s="567"/>
      <c r="F9" s="567"/>
    </row>
    <row r="10" spans="1:6" ht="18.75">
      <c r="B10" s="568" t="str">
        <f>+'2.sz.mell.'!B59</f>
        <v>EFOP program támogatása (B25)</v>
      </c>
      <c r="C10" s="570">
        <f>+'2.sz.mell.'!C59</f>
        <v>5096029</v>
      </c>
      <c r="D10" s="567"/>
      <c r="E10" s="567"/>
      <c r="F10" s="567"/>
    </row>
    <row r="11" spans="1:6" ht="18.75">
      <c r="B11" s="568" t="s">
        <v>521</v>
      </c>
      <c r="C11" s="570">
        <v>3275011</v>
      </c>
      <c r="D11" s="567"/>
      <c r="E11" s="567"/>
      <c r="F11" s="567"/>
    </row>
    <row r="12" spans="1:6" ht="18.75">
      <c r="B12" s="568" t="s">
        <v>522</v>
      </c>
      <c r="C12" s="570">
        <v>1821018</v>
      </c>
      <c r="D12" s="567"/>
      <c r="E12" s="567"/>
      <c r="F12" s="567"/>
    </row>
    <row r="13" spans="1:6" ht="18.75" hidden="1">
      <c r="B13" s="568" t="str">
        <f>+'2.sz.mell.'!B60</f>
        <v>Szociális Alaszolg. Kp. konyha tető felújítás, eszköz beszerzés támogatása (B25)</v>
      </c>
      <c r="C13" s="570">
        <f>+'2.sz.mell.'!C60</f>
        <v>0</v>
      </c>
      <c r="D13" s="567"/>
      <c r="E13" s="567"/>
      <c r="F13" s="567"/>
    </row>
    <row r="14" spans="1:6" ht="18.75" hidden="1">
      <c r="B14" s="568" t="str">
        <f>+'2.sz.mell.'!B61</f>
        <v>Kamerarendszer kiépítésének támogatása</v>
      </c>
      <c r="C14" s="570">
        <f>+'2.sz.mell.'!C61</f>
        <v>0</v>
      </c>
      <c r="D14" s="567"/>
      <c r="E14" s="567"/>
      <c r="F14" s="567"/>
    </row>
    <row r="15" spans="1:6" s="49" customFormat="1" ht="33" customHeight="1">
      <c r="B15" s="571" t="s">
        <v>58</v>
      </c>
      <c r="C15" s="572">
        <f>+C9+C10+C13+C14</f>
        <v>5096029</v>
      </c>
      <c r="D15" s="573"/>
      <c r="E15" s="574">
        <f>+'5 b.sz.mell.'!F61</f>
        <v>5096029</v>
      </c>
      <c r="F15" s="573"/>
    </row>
    <row r="16" spans="1:6" s="577" customFormat="1" ht="39" customHeight="1">
      <c r="B16" s="578" t="s">
        <v>327</v>
      </c>
      <c r="C16" s="579">
        <f>+'3.sz.mell.'!E23</f>
        <v>116182762</v>
      </c>
      <c r="D16" s="580"/>
      <c r="E16" s="581"/>
      <c r="F16" s="580"/>
    </row>
    <row r="17" spans="2:6" ht="27.75" customHeight="1">
      <c r="B17" s="571" t="s">
        <v>58</v>
      </c>
      <c r="C17" s="572">
        <f>SUM(C16)</f>
        <v>116182762</v>
      </c>
      <c r="D17" s="567"/>
      <c r="E17" s="567"/>
      <c r="F17" s="567"/>
    </row>
    <row r="18" spans="2:6" ht="26.25" customHeight="1">
      <c r="B18" s="575" t="s">
        <v>59</v>
      </c>
      <c r="C18" s="572">
        <f>SUM(C15,C17)</f>
        <v>121278791</v>
      </c>
      <c r="D18" s="567"/>
      <c r="E18" s="576"/>
      <c r="F18" s="567"/>
    </row>
    <row r="19" spans="2:6" ht="18.75">
      <c r="B19" s="567"/>
      <c r="C19" s="567"/>
      <c r="D19" s="567"/>
      <c r="E19" s="567"/>
      <c r="F19" s="567"/>
    </row>
    <row r="20" spans="2:6" ht="18.75">
      <c r="B20" s="567"/>
      <c r="C20" s="576">
        <f>+'3.sz.mell.'!E24</f>
        <v>121278791</v>
      </c>
      <c r="D20" s="567"/>
      <c r="E20" s="567"/>
      <c r="F20" s="567"/>
    </row>
    <row r="21" spans="2:6" ht="18.75">
      <c r="B21" s="567"/>
      <c r="C21" s="576"/>
      <c r="D21" s="567"/>
      <c r="E21" s="567"/>
      <c r="F21" s="567"/>
    </row>
    <row r="22" spans="2:6" ht="18.75">
      <c r="B22" s="567"/>
      <c r="C22" s="567"/>
      <c r="D22" s="576"/>
      <c r="E22" s="567"/>
      <c r="F22" s="567"/>
    </row>
    <row r="23" spans="2:6" ht="18.75">
      <c r="B23" s="567"/>
      <c r="C23" s="567"/>
      <c r="D23" s="567"/>
      <c r="E23" s="567"/>
      <c r="F23" s="567"/>
    </row>
    <row r="24" spans="2:6" ht="18.75">
      <c r="B24" s="567"/>
      <c r="C24" s="567"/>
      <c r="D24" s="567"/>
      <c r="E24" s="567"/>
      <c r="F24" s="567"/>
    </row>
    <row r="25" spans="2:6" ht="18.75">
      <c r="B25" s="567"/>
      <c r="C25" s="567"/>
      <c r="D25" s="567"/>
      <c r="E25" s="567"/>
      <c r="F25" s="567"/>
    </row>
    <row r="26" spans="2:6" ht="18.75">
      <c r="B26" s="567"/>
      <c r="C26" s="567"/>
      <c r="D26" s="567"/>
      <c r="E26" s="567"/>
      <c r="F26" s="567"/>
    </row>
    <row r="27" spans="2:6" ht="18.75">
      <c r="B27" s="567"/>
      <c r="C27" s="567"/>
      <c r="D27" s="567"/>
      <c r="E27" s="567"/>
      <c r="F27" s="567"/>
    </row>
  </sheetData>
  <mergeCells count="2">
    <mergeCell ref="A3:C3"/>
    <mergeCell ref="A1:C1"/>
  </mergeCells>
  <phoneticPr fontId="0" type="noConversion"/>
  <pageMargins left="0.75" right="0.75" top="1" bottom="1" header="0.5" footer="0.5"/>
  <pageSetup paperSize="9" scale="97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theme="9" tint="-0.249977111117893"/>
  </sheetPr>
  <dimension ref="A1:E122"/>
  <sheetViews>
    <sheetView view="pageBreakPreview" zoomScale="60" zoomScaleNormal="100" workbookViewId="0">
      <selection sqref="A1:E1"/>
    </sheetView>
  </sheetViews>
  <sheetFormatPr defaultRowHeight="15.75"/>
  <cols>
    <col min="1" max="1" width="5.85546875" style="46" customWidth="1"/>
    <col min="2" max="2" width="57.140625" style="59" customWidth="1"/>
    <col min="3" max="3" width="30.85546875" style="59" customWidth="1"/>
    <col min="4" max="4" width="18.5703125" style="65" customWidth="1"/>
    <col min="5" max="5" width="18.85546875" style="46" customWidth="1"/>
    <col min="6" max="16384" width="9.140625" style="46"/>
  </cols>
  <sheetData>
    <row r="1" spans="1:5" ht="30" customHeight="1">
      <c r="A1" s="635" t="s">
        <v>606</v>
      </c>
      <c r="B1" s="635"/>
      <c r="C1" s="635"/>
      <c r="D1" s="635"/>
      <c r="E1" s="635"/>
    </row>
    <row r="2" spans="1:5" ht="30" customHeight="1">
      <c r="A2" s="263"/>
      <c r="B2" s="263"/>
      <c r="C2" s="263"/>
      <c r="D2" s="263"/>
      <c r="E2" s="263"/>
    </row>
    <row r="3" spans="1:5" ht="49.5" customHeight="1">
      <c r="A3" s="700" t="s">
        <v>556</v>
      </c>
      <c r="B3" s="700"/>
      <c r="C3" s="700"/>
      <c r="D3" s="700"/>
      <c r="E3" s="700"/>
    </row>
    <row r="4" spans="1:5">
      <c r="B4" s="53"/>
      <c r="C4" s="53"/>
      <c r="D4" s="54"/>
    </row>
    <row r="5" spans="1:5" ht="19.5" customHeight="1" thickBot="1">
      <c r="B5" s="53"/>
      <c r="C5" s="53"/>
      <c r="D5" s="54" t="s">
        <v>320</v>
      </c>
    </row>
    <row r="6" spans="1:5" s="49" customFormat="1" ht="39" customHeight="1" thickBot="1">
      <c r="B6" s="268" t="s">
        <v>317</v>
      </c>
      <c r="C6" s="269" t="s">
        <v>307</v>
      </c>
      <c r="D6" s="464" t="s">
        <v>523</v>
      </c>
    </row>
    <row r="7" spans="1:5">
      <c r="B7" s="55" t="s">
        <v>61</v>
      </c>
      <c r="C7" s="55"/>
      <c r="D7" s="271">
        <f>SUM(D8:D10)</f>
        <v>0</v>
      </c>
    </row>
    <row r="8" spans="1:5">
      <c r="B8" s="405"/>
      <c r="C8" s="582" t="s">
        <v>308</v>
      </c>
      <c r="D8" s="404">
        <v>0</v>
      </c>
    </row>
    <row r="9" spans="1:5" hidden="1">
      <c r="B9" s="405" t="s">
        <v>525</v>
      </c>
      <c r="C9" s="582" t="s">
        <v>308</v>
      </c>
      <c r="D9" s="404">
        <v>0</v>
      </c>
    </row>
    <row r="10" spans="1:5" hidden="1">
      <c r="B10" s="350" t="s">
        <v>524</v>
      </c>
      <c r="C10" s="348" t="s">
        <v>308</v>
      </c>
      <c r="D10" s="349">
        <v>0</v>
      </c>
    </row>
    <row r="11" spans="1:5">
      <c r="B11" s="56" t="s">
        <v>62</v>
      </c>
      <c r="C11" s="55"/>
      <c r="D11" s="428">
        <f>+SUM(D12:D31)</f>
        <v>59816102</v>
      </c>
    </row>
    <row r="12" spans="1:5">
      <c r="B12" s="350" t="s">
        <v>557</v>
      </c>
      <c r="C12" s="348" t="s">
        <v>308</v>
      </c>
      <c r="D12" s="406">
        <f>300000+1100000</f>
        <v>1400000</v>
      </c>
      <c r="E12" s="504"/>
    </row>
    <row r="13" spans="1:5">
      <c r="B13" s="347" t="s">
        <v>558</v>
      </c>
      <c r="C13" s="270" t="s">
        <v>308</v>
      </c>
      <c r="D13" s="406">
        <f>2362204+637795</f>
        <v>2999999</v>
      </c>
    </row>
    <row r="14" spans="1:5">
      <c r="B14" s="347" t="s">
        <v>559</v>
      </c>
      <c r="C14" s="270" t="s">
        <v>308</v>
      </c>
      <c r="D14" s="406">
        <v>436880</v>
      </c>
    </row>
    <row r="15" spans="1:5" ht="47.25">
      <c r="B15" s="583" t="s">
        <v>560</v>
      </c>
      <c r="C15" s="270" t="s">
        <v>308</v>
      </c>
      <c r="D15" s="406">
        <f>1835000+1100000</f>
        <v>2935000</v>
      </c>
    </row>
    <row r="16" spans="1:5">
      <c r="B16" s="347" t="s">
        <v>561</v>
      </c>
      <c r="C16" s="270" t="s">
        <v>308</v>
      </c>
      <c r="D16" s="406">
        <v>700000</v>
      </c>
    </row>
    <row r="17" spans="2:4">
      <c r="B17" s="347" t="s">
        <v>562</v>
      </c>
      <c r="C17" s="270" t="s">
        <v>308</v>
      </c>
      <c r="D17" s="406">
        <v>2400000</v>
      </c>
    </row>
    <row r="18" spans="2:4">
      <c r="B18" s="347" t="s">
        <v>563</v>
      </c>
      <c r="C18" s="270" t="s">
        <v>308</v>
      </c>
      <c r="D18" s="406">
        <v>1000000</v>
      </c>
    </row>
    <row r="19" spans="2:4" ht="63">
      <c r="B19" s="583" t="s">
        <v>564</v>
      </c>
      <c r="C19" s="270" t="s">
        <v>309</v>
      </c>
      <c r="D19" s="406">
        <f>4999736+1350000+1215000+4500000</f>
        <v>12064736</v>
      </c>
    </row>
    <row r="20" spans="2:4">
      <c r="B20" s="347" t="s">
        <v>565</v>
      </c>
      <c r="C20" s="270" t="s">
        <v>309</v>
      </c>
      <c r="D20" s="406">
        <f>11811022+3188976</f>
        <v>14999998</v>
      </c>
    </row>
    <row r="21" spans="2:4">
      <c r="B21" s="347" t="s">
        <v>566</v>
      </c>
      <c r="C21" s="270" t="s">
        <v>309</v>
      </c>
      <c r="D21" s="406">
        <f>66869+18055</f>
        <v>84924</v>
      </c>
    </row>
    <row r="22" spans="2:4">
      <c r="B22" s="347" t="s">
        <v>567</v>
      </c>
      <c r="C22" s="270" t="s">
        <v>309</v>
      </c>
      <c r="D22" s="406">
        <f>1200000+350000</f>
        <v>1550000</v>
      </c>
    </row>
    <row r="23" spans="2:4">
      <c r="B23" s="347" t="s">
        <v>568</v>
      </c>
      <c r="C23" s="270" t="s">
        <v>309</v>
      </c>
      <c r="D23" s="406">
        <f>1520000+410400</f>
        <v>1930400</v>
      </c>
    </row>
    <row r="24" spans="2:4">
      <c r="B24" s="347" t="s">
        <v>569</v>
      </c>
      <c r="C24" s="270" t="s">
        <v>309</v>
      </c>
      <c r="D24" s="406">
        <f>12000000+3240000</f>
        <v>15240000</v>
      </c>
    </row>
    <row r="25" spans="2:4">
      <c r="B25" s="347" t="s">
        <v>574</v>
      </c>
      <c r="C25" s="270" t="s">
        <v>308</v>
      </c>
      <c r="D25" s="623">
        <v>682365</v>
      </c>
    </row>
    <row r="26" spans="2:4">
      <c r="B26" s="347" t="s">
        <v>570</v>
      </c>
      <c r="C26" s="270" t="s">
        <v>308</v>
      </c>
      <c r="D26" s="406">
        <v>381000</v>
      </c>
    </row>
    <row r="27" spans="2:4">
      <c r="B27" s="347" t="s">
        <v>571</v>
      </c>
      <c r="C27" s="270" t="s">
        <v>308</v>
      </c>
      <c r="D27" s="406">
        <v>50800</v>
      </c>
    </row>
    <row r="28" spans="2:4">
      <c r="B28" s="347" t="s">
        <v>572</v>
      </c>
      <c r="C28" s="270" t="s">
        <v>308</v>
      </c>
      <c r="D28" s="406">
        <v>205000</v>
      </c>
    </row>
    <row r="29" spans="2:4">
      <c r="B29" s="347" t="s">
        <v>573</v>
      </c>
      <c r="C29" s="270" t="s">
        <v>308</v>
      </c>
      <c r="D29" s="406">
        <v>205000</v>
      </c>
    </row>
    <row r="30" spans="2:4">
      <c r="B30" s="347" t="s">
        <v>575</v>
      </c>
      <c r="C30" s="270" t="s">
        <v>309</v>
      </c>
      <c r="D30" s="406">
        <v>150000</v>
      </c>
    </row>
    <row r="31" spans="2:4">
      <c r="B31" s="583" t="s">
        <v>576</v>
      </c>
      <c r="C31" s="584" t="s">
        <v>309</v>
      </c>
      <c r="D31" s="406">
        <v>400000</v>
      </c>
    </row>
    <row r="32" spans="2:4" ht="15" customHeight="1">
      <c r="B32" s="52" t="s">
        <v>58</v>
      </c>
      <c r="C32" s="52"/>
      <c r="D32" s="346">
        <f>+D11+D7</f>
        <v>59816102</v>
      </c>
    </row>
    <row r="33" spans="2:5" s="49" customFormat="1">
      <c r="B33" s="57"/>
      <c r="C33" s="57"/>
      <c r="D33" s="467"/>
    </row>
    <row r="34" spans="2:5" ht="24.75" customHeight="1">
      <c r="B34" s="57"/>
      <c r="C34" s="57"/>
      <c r="D34" s="58">
        <f>13396044+46420058</f>
        <v>59816102</v>
      </c>
      <c r="E34" s="437">
        <f>+'2.sz.mell.'!C88</f>
        <v>59816102</v>
      </c>
    </row>
    <row r="35" spans="2:5" ht="11.25" customHeight="1">
      <c r="B35" s="57"/>
      <c r="C35" s="57"/>
      <c r="D35" s="58"/>
    </row>
    <row r="36" spans="2:5" s="49" customFormat="1">
      <c r="B36" s="57"/>
      <c r="C36" s="57"/>
      <c r="D36" s="58">
        <f>+D32-D34</f>
        <v>0</v>
      </c>
      <c r="E36" s="467">
        <f>+E34-D32</f>
        <v>0</v>
      </c>
    </row>
    <row r="37" spans="2:5" s="49" customFormat="1">
      <c r="B37" s="59"/>
      <c r="C37" s="59"/>
      <c r="D37" s="59"/>
    </row>
    <row r="38" spans="2:5">
      <c r="D38" s="59"/>
    </row>
    <row r="39" spans="2:5" s="49" customFormat="1">
      <c r="B39" s="59"/>
      <c r="C39" s="59"/>
      <c r="D39" s="59"/>
    </row>
    <row r="40" spans="2:5">
      <c r="D40" s="59"/>
    </row>
    <row r="41" spans="2:5">
      <c r="D41" s="59"/>
    </row>
    <row r="42" spans="2:5">
      <c r="D42" s="59"/>
    </row>
    <row r="43" spans="2:5">
      <c r="D43" s="59"/>
    </row>
    <row r="44" spans="2:5">
      <c r="D44" s="59"/>
    </row>
    <row r="45" spans="2:5">
      <c r="D45" s="59"/>
    </row>
    <row r="46" spans="2:5">
      <c r="D46" s="59"/>
    </row>
    <row r="47" spans="2:5">
      <c r="D47" s="59"/>
    </row>
    <row r="48" spans="2:5">
      <c r="D48" s="59"/>
    </row>
    <row r="49" spans="2:4">
      <c r="D49" s="59"/>
    </row>
    <row r="50" spans="2:4">
      <c r="B50" s="60"/>
      <c r="C50" s="60"/>
      <c r="D50" s="61"/>
    </row>
    <row r="51" spans="2:4">
      <c r="B51" s="60"/>
      <c r="C51" s="60"/>
      <c r="D51" s="61"/>
    </row>
    <row r="52" spans="2:4">
      <c r="B52" s="60"/>
      <c r="C52" s="60"/>
      <c r="D52" s="61"/>
    </row>
    <row r="53" spans="2:4">
      <c r="B53" s="60"/>
      <c r="C53" s="60"/>
      <c r="D53" s="61"/>
    </row>
    <row r="54" spans="2:4" s="51" customFormat="1">
      <c r="B54" s="60"/>
      <c r="C54" s="60"/>
      <c r="D54" s="61"/>
    </row>
    <row r="55" spans="2:4" s="49" customFormat="1">
      <c r="B55" s="60"/>
      <c r="C55" s="60"/>
      <c r="D55" s="61"/>
    </row>
    <row r="56" spans="2:4" s="62" customFormat="1">
      <c r="B56" s="60"/>
      <c r="C56" s="60"/>
      <c r="D56" s="61"/>
    </row>
    <row r="57" spans="2:4">
      <c r="B57" s="60"/>
      <c r="C57" s="60"/>
      <c r="D57" s="61"/>
    </row>
    <row r="58" spans="2:4">
      <c r="B58" s="60"/>
      <c r="C58" s="60"/>
      <c r="D58" s="61"/>
    </row>
    <row r="59" spans="2:4">
      <c r="B59" s="60"/>
      <c r="C59" s="60"/>
      <c r="D59" s="61"/>
    </row>
    <row r="60" spans="2:4">
      <c r="B60" s="60"/>
      <c r="C60" s="60"/>
      <c r="D60" s="61"/>
    </row>
    <row r="61" spans="2:4">
      <c r="B61" s="60"/>
      <c r="C61" s="60"/>
      <c r="D61" s="61"/>
    </row>
    <row r="62" spans="2:4">
      <c r="B62" s="60"/>
      <c r="C62" s="60"/>
      <c r="D62" s="61"/>
    </row>
    <row r="63" spans="2:4">
      <c r="B63" s="60"/>
      <c r="C63" s="60"/>
      <c r="D63" s="61"/>
    </row>
    <row r="64" spans="2:4">
      <c r="B64" s="60"/>
      <c r="C64" s="60"/>
      <c r="D64" s="61"/>
    </row>
    <row r="65" spans="2:4">
      <c r="B65" s="60"/>
      <c r="C65" s="60"/>
      <c r="D65" s="61"/>
    </row>
    <row r="66" spans="2:4">
      <c r="B66" s="60"/>
      <c r="C66" s="60"/>
      <c r="D66" s="61"/>
    </row>
    <row r="67" spans="2:4">
      <c r="B67" s="60"/>
      <c r="C67" s="60"/>
      <c r="D67" s="61"/>
    </row>
    <row r="68" spans="2:4">
      <c r="B68" s="57"/>
      <c r="C68" s="57"/>
      <c r="D68" s="63"/>
    </row>
    <row r="69" spans="2:4">
      <c r="D69" s="59"/>
    </row>
    <row r="70" spans="2:4">
      <c r="D70" s="59"/>
    </row>
    <row r="71" spans="2:4" s="49" customFormat="1">
      <c r="B71" s="57"/>
      <c r="C71" s="57"/>
      <c r="D71" s="57"/>
    </row>
    <row r="72" spans="2:4">
      <c r="D72" s="59"/>
    </row>
    <row r="73" spans="2:4">
      <c r="D73" s="59"/>
    </row>
    <row r="74" spans="2:4" s="49" customFormat="1">
      <c r="B74" s="57"/>
      <c r="C74" s="57"/>
      <c r="D74" s="59"/>
    </row>
    <row r="75" spans="2:4">
      <c r="B75" s="60"/>
      <c r="C75" s="60"/>
      <c r="D75" s="64"/>
    </row>
    <row r="76" spans="2:4">
      <c r="B76" s="60"/>
      <c r="C76" s="60"/>
      <c r="D76" s="64"/>
    </row>
    <row r="77" spans="2:4">
      <c r="B77" s="60"/>
      <c r="C77" s="60"/>
      <c r="D77" s="64"/>
    </row>
    <row r="78" spans="2:4">
      <c r="B78" s="60"/>
      <c r="C78" s="60"/>
      <c r="D78" s="64"/>
    </row>
    <row r="79" spans="2:4">
      <c r="B79" s="60"/>
      <c r="C79" s="60"/>
      <c r="D79" s="64"/>
    </row>
    <row r="80" spans="2:4">
      <c r="B80" s="60"/>
      <c r="C80" s="60"/>
      <c r="D80" s="64"/>
    </row>
    <row r="81" spans="2:4">
      <c r="B81" s="60"/>
      <c r="C81" s="60"/>
      <c r="D81" s="64"/>
    </row>
    <row r="82" spans="2:4">
      <c r="B82" s="60"/>
      <c r="C82" s="60"/>
      <c r="D82" s="64"/>
    </row>
    <row r="83" spans="2:4">
      <c r="B83" s="57"/>
      <c r="C83" s="57"/>
      <c r="D83" s="58"/>
    </row>
    <row r="84" spans="2:4">
      <c r="B84" s="57"/>
      <c r="C84" s="57"/>
    </row>
    <row r="85" spans="2:4">
      <c r="D85" s="58"/>
    </row>
    <row r="86" spans="2:4">
      <c r="B86" s="57"/>
      <c r="C86" s="57"/>
    </row>
    <row r="88" spans="2:4">
      <c r="D88" s="58"/>
    </row>
    <row r="89" spans="2:4">
      <c r="B89" s="57"/>
      <c r="C89" s="57"/>
      <c r="D89" s="58"/>
    </row>
    <row r="90" spans="2:4">
      <c r="B90" s="57"/>
      <c r="C90" s="57"/>
    </row>
    <row r="91" spans="2:4">
      <c r="D91" s="58"/>
    </row>
    <row r="92" spans="2:4">
      <c r="B92" s="57"/>
      <c r="C92" s="57"/>
      <c r="D92" s="64"/>
    </row>
    <row r="93" spans="2:4">
      <c r="B93" s="66"/>
      <c r="C93" s="66"/>
      <c r="D93" s="64"/>
    </row>
    <row r="94" spans="2:4">
      <c r="B94" s="66"/>
      <c r="C94" s="66"/>
      <c r="D94" s="64"/>
    </row>
    <row r="95" spans="2:4">
      <c r="B95" s="66"/>
      <c r="C95" s="66"/>
      <c r="D95" s="64"/>
    </row>
    <row r="96" spans="2:4">
      <c r="B96" s="66"/>
      <c r="C96" s="66"/>
      <c r="D96" s="64"/>
    </row>
    <row r="97" spans="2:4">
      <c r="B97" s="66"/>
      <c r="C97" s="66"/>
      <c r="D97" s="64"/>
    </row>
    <row r="98" spans="2:4">
      <c r="B98" s="66"/>
      <c r="C98" s="66"/>
      <c r="D98" s="64"/>
    </row>
    <row r="99" spans="2:4">
      <c r="B99" s="66"/>
      <c r="C99" s="66"/>
      <c r="D99" s="64"/>
    </row>
    <row r="100" spans="2:4">
      <c r="B100" s="66"/>
      <c r="C100" s="66"/>
      <c r="D100" s="64"/>
    </row>
    <row r="101" spans="2:4">
      <c r="B101" s="66"/>
      <c r="C101" s="66"/>
    </row>
    <row r="108" spans="2:4">
      <c r="D108" s="58"/>
    </row>
    <row r="109" spans="2:4">
      <c r="B109" s="57"/>
      <c r="C109" s="57"/>
    </row>
    <row r="110" spans="2:4">
      <c r="D110" s="58"/>
    </row>
    <row r="111" spans="2:4">
      <c r="B111" s="57"/>
      <c r="C111" s="57"/>
    </row>
    <row r="114" spans="2:4">
      <c r="D114" s="58"/>
    </row>
    <row r="115" spans="2:4">
      <c r="D115" s="59"/>
    </row>
    <row r="116" spans="2:4">
      <c r="D116" s="58"/>
    </row>
    <row r="117" spans="2:4">
      <c r="B117" s="57"/>
      <c r="C117" s="57"/>
      <c r="D117" s="64"/>
    </row>
    <row r="118" spans="2:4">
      <c r="B118" s="66"/>
      <c r="C118" s="66"/>
    </row>
    <row r="119" spans="2:4">
      <c r="D119" s="58"/>
    </row>
    <row r="120" spans="2:4">
      <c r="B120" s="57"/>
      <c r="C120" s="57"/>
    </row>
    <row r="121" spans="2:4">
      <c r="D121" s="58"/>
    </row>
    <row r="122" spans="2:4">
      <c r="B122" s="57"/>
      <c r="C122" s="57"/>
    </row>
  </sheetData>
  <mergeCells count="2">
    <mergeCell ref="A3:E3"/>
    <mergeCell ref="A1:E1"/>
  </mergeCells>
  <phoneticPr fontId="0" type="noConversion"/>
  <pageMargins left="0.75" right="0.75" top="1" bottom="1" header="0.5" footer="0.5"/>
  <pageSetup paperSize="9" scale="7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21</vt:i4>
      </vt:variant>
      <vt:variant>
        <vt:lpstr>Névvel ellátott tartományok</vt:lpstr>
      </vt:variant>
      <vt:variant>
        <vt:i4>20</vt:i4>
      </vt:variant>
    </vt:vector>
  </HeadingPairs>
  <TitlesOfParts>
    <vt:vector size="41" baseType="lpstr">
      <vt:lpstr>Címrend</vt:lpstr>
      <vt:lpstr>2.sz.mell.</vt:lpstr>
      <vt:lpstr>3.sz.mell.</vt:lpstr>
      <vt:lpstr>4.sz.mell.</vt:lpstr>
      <vt:lpstr>5.a sz.mell.</vt:lpstr>
      <vt:lpstr>5 b.sz.mell.</vt:lpstr>
      <vt:lpstr>6.sz.mell.</vt:lpstr>
      <vt:lpstr>7.sz.mell.</vt:lpstr>
      <vt:lpstr>8.sz.mell.</vt:lpstr>
      <vt:lpstr>9.sz.mell.</vt:lpstr>
      <vt:lpstr>10.sz.mell.</vt:lpstr>
      <vt:lpstr>11.sz.mell.</vt:lpstr>
      <vt:lpstr>12.sz.mell.</vt:lpstr>
      <vt:lpstr>13.sz.mell</vt:lpstr>
      <vt:lpstr>14.sz.mell.</vt:lpstr>
      <vt:lpstr>15. sz.mell.</vt:lpstr>
      <vt:lpstr>16.sz.mell.</vt:lpstr>
      <vt:lpstr>17.sz.m</vt:lpstr>
      <vt:lpstr>18.sz.m.</vt:lpstr>
      <vt:lpstr>19.sz.m.</vt:lpstr>
      <vt:lpstr>20.sz.mell</vt:lpstr>
      <vt:lpstr>'2.sz.mell.'!Nyomtatási_cím</vt:lpstr>
      <vt:lpstr>'3.sz.mell.'!Nyomtatási_cím</vt:lpstr>
      <vt:lpstr>'11.sz.mell.'!Nyomtatási_terület</vt:lpstr>
      <vt:lpstr>'12.sz.mell.'!Nyomtatási_terület</vt:lpstr>
      <vt:lpstr>'14.sz.mell.'!Nyomtatási_terület</vt:lpstr>
      <vt:lpstr>'15. sz.mell.'!Nyomtatási_terület</vt:lpstr>
      <vt:lpstr>'16.sz.mell.'!Nyomtatási_terület</vt:lpstr>
      <vt:lpstr>'17.sz.m'!Nyomtatási_terület</vt:lpstr>
      <vt:lpstr>'18.sz.m.'!Nyomtatási_terület</vt:lpstr>
      <vt:lpstr>'19.sz.m.'!Nyomtatási_terület</vt:lpstr>
      <vt:lpstr>'2.sz.mell.'!Nyomtatási_terület</vt:lpstr>
      <vt:lpstr>'20.sz.mell'!Nyomtatási_terület</vt:lpstr>
      <vt:lpstr>'3.sz.mell.'!Nyomtatási_terület</vt:lpstr>
      <vt:lpstr>'4.sz.mell.'!Nyomtatási_terület</vt:lpstr>
      <vt:lpstr>'5 b.sz.mell.'!Nyomtatási_terület</vt:lpstr>
      <vt:lpstr>'5.a sz.mell.'!Nyomtatási_terület</vt:lpstr>
      <vt:lpstr>'6.sz.mell.'!Nyomtatási_terület</vt:lpstr>
      <vt:lpstr>'7.sz.mell.'!Nyomtatási_terület</vt:lpstr>
      <vt:lpstr>'8.sz.mell.'!Nyomtatási_terület</vt:lpstr>
      <vt:lpstr>'9.sz.mell.'!Nyomtatási_terület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2020-02-07T09:10:32Z</cp:lastPrinted>
  <dcterms:created xsi:type="dcterms:W3CDTF">2015-02-02T07:42:02Z</dcterms:created>
  <dcterms:modified xsi:type="dcterms:W3CDTF">2020-02-10T11:37:14Z</dcterms:modified>
</cp:coreProperties>
</file>